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tabRatio="710" activeTab="0"/>
  </bookViews>
  <sheets>
    <sheet name="INPUT" sheetId="1" r:id="rId1"/>
    <sheet name="RAW" sheetId="2" state="hidden" r:id="rId2"/>
    <sheet name="CNTNR COST" sheetId="3" state="hidden" r:id="rId3"/>
    <sheet name="WHOLESALE" sheetId="4" state="hidden" r:id="rId4"/>
    <sheet name="RETAIL" sheetId="5" state="hidden" r:id="rId5"/>
    <sheet name="SCHEDULES" sheetId="6" state="hidden" r:id="rId6"/>
    <sheet name="SCHEDULE" sheetId="7" r:id="rId7"/>
  </sheets>
  <externalReferences>
    <externalReference r:id="rId10"/>
  </externalReferences>
  <definedNames>
    <definedName name="ADVANCE_CL2_DIFF">'INPUT'!#REF!</definedName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nsumer_Price_Index">'INPUT'!$B$9</definedName>
    <definedName name="COST_UPDATE_ADJ">'INPUT'!$B$34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4">'RETAIL'!$C$1:$K$142</definedName>
    <definedName name="_xlnm.Print_Area" localSheetId="6">'SCHEDULE'!$A$1:$M$73</definedName>
    <definedName name="_xlnm.Print_Area" localSheetId="5">'SCHEDULES'!$A$1:$L$71</definedName>
    <definedName name="_xlnm.Print_Area" localSheetId="3">'WHOLESALE'!$C$8:$P$145</definedName>
    <definedName name="_xlnm.Print_Titles" localSheetId="2">'CNTNR COST'!$1:$5</definedName>
    <definedName name="_xlnm.Print_Titles" localSheetId="4">'RETAIL'!$1:$7</definedName>
    <definedName name="_xlnm.Print_Titles" localSheetId="3">'WHOLESALE'!$1:$7</definedName>
    <definedName name="PROCESS_CST">'INPUT'!$B$30</definedName>
    <definedName name="PRODUCT_TABLE">'[1]Sheet1'!$A$7:$CA$113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'SCHEDULES'!$A$1:$L$34</definedName>
    <definedName name="SCHEDULE_2">'SCHEDULES'!$A$36:$L$70</definedName>
    <definedName name="STOP_CHARGE">'INPUT'!#REF!</definedName>
    <definedName name="TENoz_CTNRCST">'INPUT'!$B$18</definedName>
    <definedName name="Z_6749BBA2_7883_11D2_AC8B_00A0247DF0CD_.wvu.PrintArea" localSheetId="2" hidden="1">'CNTNR COST'!$A$4:$G$143</definedName>
    <definedName name="Z_6749BBA2_7883_11D2_AC8B_00A0247DF0CD_.wvu.PrintArea" localSheetId="5" hidden="1">'SCHEDULES'!$A$36:$L$70</definedName>
    <definedName name="Z_6749BBA2_7883_11D2_AC8B_00A0247DF0CD_.wvu.PrintArea" localSheetId="3" hidden="1">'WHOLESALE'!$C$8:$S$145</definedName>
    <definedName name="Z_6749BBA2_7883_11D2_AC8B_00A0247DF0CD_.wvu.PrintTitles" localSheetId="2" hidden="1">'CNTNR COST'!$1:$3</definedName>
    <definedName name="Z_6749BBA2_7883_11D2_AC8B_00A0247DF0CD_.wvu.PrintTitles" localSheetId="3" hidden="1">'WHOLESALE'!$1:$7</definedName>
  </definedNames>
  <calcPr fullCalcOnLoad="1"/>
</workbook>
</file>

<file path=xl/sharedStrings.xml><?xml version="1.0" encoding="utf-8"?>
<sst xmlns="http://schemas.openxmlformats.org/spreadsheetml/2006/main" count="836" uniqueCount="237">
  <si>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</si>
  <si>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</si>
  <si>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</si>
  <si>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</si>
  <si>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</si>
  <si>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</si>
  <si>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</si>
  <si>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PROCESSING COST</t>
  </si>
  <si>
    <t>CONTAINER COSTS</t>
  </si>
  <si>
    <t>GALLON</t>
  </si>
  <si>
    <t>QUART</t>
  </si>
  <si>
    <t>PINT</t>
  </si>
  <si>
    <t>INGREDIENT COST</t>
  </si>
  <si>
    <t>STANDARD</t>
  </si>
  <si>
    <t>SKIM</t>
  </si>
  <si>
    <t>FLAVORED MILK</t>
  </si>
  <si>
    <t>BUTTERMILK</t>
  </si>
  <si>
    <t>CREAM ADD-ONS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</si>
  <si>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</si>
  <si>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</si>
  <si>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</si>
  <si>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</si>
  <si>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</si>
  <si>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</si>
  <si>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</si>
  <si>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</si>
  <si>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</si>
  <si>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</si>
  <si>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</si>
  <si>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</si>
  <si>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</si>
  <si>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</si>
  <si>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</si>
  <si>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</si>
  <si>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</si>
  <si>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</si>
  <si>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</si>
  <si>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</si>
  <si>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</si>
  <si>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</si>
  <si>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</si>
  <si>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</si>
  <si>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</si>
  <si>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</si>
  <si>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</si>
  <si>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</si>
  <si>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</si>
  <si>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</si>
  <si>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</si>
  <si>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</si>
  <si>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</si>
  <si>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</si>
  <si>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</si>
  <si>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</si>
  <si>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</si>
  <si>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</si>
  <si>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</si>
  <si>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</si>
  <si>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</si>
  <si>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</si>
  <si>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</si>
  <si>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</si>
  <si>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</si>
  <si>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</si>
  <si>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</si>
  <si>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MINIMUM WHOLESALE PRICES</t>
  </si>
  <si>
    <t xml:space="preserve">SCHEDULE I 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</si>
  <si>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</si>
  <si>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</si>
  <si>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</si>
  <si>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</si>
  <si>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</si>
  <si>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</si>
  <si>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</si>
  <si>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</si>
  <si>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</si>
  <si>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</si>
  <si>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</si>
  <si>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</si>
  <si>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</si>
  <si>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</si>
  <si>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</si>
  <si>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1/3 QT.</t>
  </si>
  <si>
    <t>/5/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</si>
  <si>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</si>
  <si>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</si>
  <si>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</si>
  <si>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</si>
  <si>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</si>
  <si>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</si>
  <si>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</si>
  <si>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</si>
  <si>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</si>
  <si>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</si>
  <si>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</si>
  <si>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</si>
  <si>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 xml:space="preserve">    /4/    SOUR CREAM :</t>
  </si>
  <si>
    <t xml:space="preserve">5 LBS.  - </t>
  </si>
  <si>
    <t xml:space="preserve">         10 LBS.   -</t>
  </si>
  <si>
    <t>PRICES INCLUDE ALL APPLICABLE ENERGY ADD-ONS PURSUANT TO OFFICIAL GENERAL ORDER A-908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</si>
  <si>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</si>
  <si>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</si>
  <si>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</si>
  <si>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</si>
  <si>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</si>
  <si>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</si>
  <si>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</si>
  <si>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</si>
  <si>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</si>
  <si>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</si>
  <si>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</si>
  <si>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Ingredient</t>
  </si>
  <si>
    <t>Cost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</si>
  <si>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</si>
  <si>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</si>
  <si>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</si>
  <si>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</si>
  <si>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</si>
  <si>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</si>
  <si>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</si>
  <si>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</si>
  <si>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Gallon</t>
  </si>
  <si>
    <t>Half Gallon</t>
  </si>
  <si>
    <t>Quart</t>
  </si>
  <si>
    <t>Pint</t>
  </si>
  <si>
    <t>1/2 Pint</t>
  </si>
  <si>
    <t>4 Ounce</t>
  </si>
  <si>
    <t>Percentage Discount</t>
  </si>
  <si>
    <t>DISCOUNT</t>
  </si>
  <si>
    <t>HANDLING</t>
  </si>
  <si>
    <t>In-Store Handling Cost</t>
  </si>
  <si>
    <t>Retail Profit</t>
  </si>
  <si>
    <t>CRO 1</t>
  </si>
  <si>
    <t>OGO A-???</t>
  </si>
  <si>
    <t xml:space="preserve">        /4/  ADD $0.04 PER QUART FOR HOME-DELIVERED MILK</t>
  </si>
  <si>
    <t>COST UPDATE</t>
  </si>
  <si>
    <t>&amp; ENERGY</t>
  </si>
  <si>
    <t>ADJUSTMENT</t>
  </si>
  <si>
    <t>AREA 2 RESALE PRICE BUILD-UP</t>
  </si>
  <si>
    <t>UNADJUSTED COST PER CONTAINER - AREA 2</t>
  </si>
  <si>
    <t>AREA  2</t>
  </si>
  <si>
    <t>EAST CENTRAL MILK MARKETING AREA</t>
  </si>
  <si>
    <t>Enter number with 4 decimal places</t>
  </si>
  <si>
    <t>AREA 2 WHOLESALE PRICE BUILD-UP</t>
  </si>
  <si>
    <t>AREA 2 RETAIL PRICE BUILD-UP</t>
  </si>
  <si>
    <t>COST UPDATE ADJ.</t>
  </si>
  <si>
    <t>LEAST FAV</t>
  </si>
  <si>
    <t>Kirkland Handling</t>
  </si>
  <si>
    <t>Half Pint</t>
  </si>
  <si>
    <t>4 ounce</t>
  </si>
  <si>
    <t>Checkout Cost/Package</t>
  </si>
  <si>
    <t>Display Cost/Quart</t>
  </si>
  <si>
    <t>Third Quart</t>
  </si>
  <si>
    <t>DISCOUNTED</t>
  </si>
  <si>
    <t xml:space="preserve"> </t>
  </si>
  <si>
    <t>EAST CENTRAL MILK MARKETING AREA,  AREA NO. 2</t>
  </si>
  <si>
    <t>/4/</t>
  </si>
  <si>
    <t>SCHEDULE II /3/</t>
  </si>
  <si>
    <t xml:space="preserve">        /3/  ADD $0.04 PER QUART FOR HOME-DELIVERED MILK.</t>
  </si>
  <si>
    <t>DEALER PROFIT</t>
  </si>
  <si>
    <t>RETAIL PRICE BUILDUP</t>
  </si>
  <si>
    <t>BULK (PROFIT)/LOSS</t>
  </si>
  <si>
    <t>CONTAINER EFFICIENCY ADJUSTMENT</t>
  </si>
  <si>
    <t>Energy Add-on</t>
  </si>
  <si>
    <t>Standard</t>
  </si>
  <si>
    <t>Two Percent</t>
  </si>
  <si>
    <t>One Percent</t>
  </si>
  <si>
    <t>Skim</t>
  </si>
  <si>
    <t>Flavored Milk Drink</t>
  </si>
  <si>
    <t>Flavored Milk</t>
  </si>
  <si>
    <t>Buttermilk</t>
  </si>
  <si>
    <t>Half &amp; Half Add-on</t>
  </si>
  <si>
    <t>Cream Add-on</t>
  </si>
  <si>
    <t>Creamer Add-on</t>
  </si>
  <si>
    <t>Sour Cream Add-on</t>
  </si>
  <si>
    <t xml:space="preserve">                 ADD $.02 PER QT. EQUIVALENT TO ESTABLESH RETAIL PRICES ON SCHEDULE II.</t>
  </si>
  <si>
    <t>SKIM RATE</t>
  </si>
  <si>
    <t>BUTTERFAT RATE</t>
  </si>
  <si>
    <t>CLASS I</t>
  </si>
  <si>
    <t>CLASS II</t>
  </si>
  <si>
    <t>Consumer Price Index</t>
  </si>
  <si>
    <t>Retailers</t>
  </si>
  <si>
    <t>Staff</t>
  </si>
  <si>
    <t>CURRENT</t>
  </si>
  <si>
    <t>INCREASE</t>
  </si>
  <si>
    <t>DECREASE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</si>
  <si>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</si>
  <si>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</si>
  <si>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</si>
  <si>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</si>
  <si>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</si>
  <si>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 NOG</t>
  </si>
  <si>
    <t>EGG NOG (@ 7.60% b.f.)</t>
  </si>
  <si>
    <t>STANDARD  (WHOLE)</t>
  </si>
  <si>
    <t>MILK</t>
  </si>
  <si>
    <t>REDUCED FAT  (2%)</t>
  </si>
  <si>
    <t>LOWFAT  (1%)</t>
  </si>
  <si>
    <t>NONFAT  (SKIM)</t>
  </si>
  <si>
    <t>REDUCED FAT</t>
  </si>
  <si>
    <t>EGGNOG</t>
  </si>
  <si>
    <t>LIGHT</t>
  </si>
  <si>
    <t>CREAM</t>
  </si>
  <si>
    <t>MEDIUM</t>
  </si>
  <si>
    <t>HEAVY</t>
  </si>
  <si>
    <t>existing</t>
  </si>
  <si>
    <t xml:space="preserve">                      EAST CENTRAL MILK MARKETING AREA</t>
  </si>
  <si>
    <t xml:space="preserve">                   MINIMUM WHOLESALE PRICES</t>
  </si>
  <si>
    <t xml:space="preserve">                                                         SCHEDULE I </t>
  </si>
  <si>
    <t>CRATE COST</t>
  </si>
  <si>
    <t>CRATE</t>
  </si>
  <si>
    <t>12  Ounce</t>
  </si>
  <si>
    <t>10  Ounce</t>
  </si>
  <si>
    <t>12 OUNCE</t>
  </si>
  <si>
    <t>10 Ounce</t>
  </si>
  <si>
    <t>12 Ounce</t>
  </si>
  <si>
    <t>12 OZ.</t>
  </si>
  <si>
    <t>10 OZ.</t>
  </si>
  <si>
    <t>1/2 Pint Plastic Add-on</t>
  </si>
  <si>
    <t>GAL.</t>
  </si>
  <si>
    <t>/1/</t>
  </si>
  <si>
    <t>Flavored Milk Cost Updates</t>
  </si>
  <si>
    <t>Flavored Milk Cost</t>
  </si>
  <si>
    <t>Flavored Milk Drink Cost</t>
  </si>
  <si>
    <t>Flavored NONFAT Milk Drink</t>
  </si>
  <si>
    <t>FLAVORED NONFAT MILK</t>
  </si>
  <si>
    <t>NONFAT</t>
  </si>
  <si>
    <t>Non-fat Flavored Milk Drink Cost</t>
  </si>
  <si>
    <t>Enter number with 3 decimal places</t>
  </si>
  <si>
    <t>use shrink factor value</t>
  </si>
  <si>
    <t>CPI Index - Base as of MAR-2021</t>
  </si>
  <si>
    <t>CPI Index - Current</t>
  </si>
  <si>
    <t>% increase/decrease from base</t>
  </si>
  <si>
    <t>12 oz</t>
  </si>
  <si>
    <t>10 oz</t>
  </si>
  <si>
    <t>4 oz</t>
  </si>
  <si>
    <t>Bulk per QT</t>
  </si>
  <si>
    <t>OGO A-953 (CRO-15)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</si>
</sst>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mmmm/dd/yyyy\ h:mm"/>
    <numFmt numFmtId="202" formatCode="mmmm/dd/yyyy\ h:mm\ AM/PM"/>
    <numFmt numFmtId="203" formatCode="&quot;$&quot;#,##0.000_);[Red]\(&quot;$&quot;#,##0.000\)"/>
    <numFmt numFmtId="204" formatCode="&quot;$&quot;#,##0.0000_);[Red]\(&quot;$&quot;#,##0.0000\)"/>
    <numFmt numFmtId="205" formatCode="mmmmm/ddd/yyyy\ h:mm\ AM/PM"/>
    <numFmt numFmtId="206" formatCode="mmmm/dddd/yyyy\ h:mm\ AM/PM"/>
    <numFmt numFmtId="207" formatCode="&quot;    /5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  <numFmt numFmtId="209" formatCode="0.0%"/>
    <numFmt numFmtId="210" formatCode="&quot;        /5/  ADD &quot;&quot;$&quot;* #,##0.00_)&quot;WHEN SOLD IN RIGID PLASTIC CONTAINERS&quot;;\(&quot;$&quot;* \(#,##0.0000\);_(&quot;$&quot;* &quot;-&quot;_);_(@_)"/>
    <numFmt numFmtId="211" formatCode="&quot;$&quot;#,##0.0000"/>
    <numFmt numFmtId="212" formatCode="0.000%"/>
    <numFmt numFmtId="213" formatCode="0.0000%"/>
  </numFmts>
  <fonts count="82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8"/>
      <color indexed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8"/>
      <name val="Arial MT"/>
      <family val="0"/>
    </font>
    <font>
      <sz val="12"/>
      <color indexed="4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30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70C0"/>
      <name val="Arial M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180" fontId="9" fillId="0" borderId="29" xfId="0" applyNumberFormat="1" applyFont="1" applyBorder="1" applyAlignment="1">
      <alignment/>
    </xf>
    <xf numFmtId="180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2" fontId="9" fillId="0" borderId="32" xfId="0" applyNumberFormat="1" applyFont="1" applyBorder="1" applyAlignment="1">
      <alignment/>
    </xf>
    <xf numFmtId="180" fontId="9" fillId="0" borderId="32" xfId="0" applyNumberFormat="1" applyFont="1" applyBorder="1" applyAlignment="1">
      <alignment/>
    </xf>
    <xf numFmtId="180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2" fontId="9" fillId="0" borderId="35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2" fontId="9" fillId="0" borderId="27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37" xfId="0" applyNumberFormat="1" applyFont="1" applyFill="1" applyBorder="1" applyAlignment="1" applyProtection="1">
      <alignment horizontal="centerContinuous"/>
      <protection/>
    </xf>
    <xf numFmtId="0" fontId="17" fillId="35" borderId="38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37" fontId="9" fillId="0" borderId="44" xfId="0" applyNumberFormat="1" applyFont="1" applyBorder="1" applyAlignment="1" applyProtection="1">
      <alignment/>
      <protection/>
    </xf>
    <xf numFmtId="37" fontId="9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38" xfId="0" applyFill="1" applyBorder="1" applyAlignment="1" applyProtection="1">
      <alignment horizontal="centerContinuous"/>
      <protection/>
    </xf>
    <xf numFmtId="0" fontId="16" fillId="35" borderId="38" xfId="0" applyFont="1" applyFill="1" applyBorder="1" applyAlignment="1" applyProtection="1">
      <alignment horizontal="centerContinuous"/>
      <protection/>
    </xf>
    <xf numFmtId="0" fontId="9" fillId="35" borderId="46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6" fontId="3" fillId="33" borderId="26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 locked="0"/>
    </xf>
    <xf numFmtId="44" fontId="9" fillId="0" borderId="0" xfId="46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hidden="1"/>
    </xf>
    <xf numFmtId="169" fontId="3" fillId="33" borderId="10" xfId="0" applyNumberFormat="1" applyFont="1" applyFill="1" applyBorder="1" applyAlignment="1" applyProtection="1">
      <alignment/>
      <protection locked="0"/>
    </xf>
    <xf numFmtId="194" fontId="9" fillId="0" borderId="44" xfId="42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/>
      <protection hidden="1"/>
    </xf>
    <xf numFmtId="0" fontId="23" fillId="0" borderId="0" xfId="0" applyFont="1" applyAlignment="1">
      <alignment horizontal="centerContinuous"/>
    </xf>
    <xf numFmtId="187" fontId="20" fillId="0" borderId="0" xfId="0" applyNumberFormat="1" applyFont="1" applyAlignment="1" applyProtection="1">
      <alignment horizontal="centerContinuous"/>
      <protection/>
    </xf>
    <xf numFmtId="178" fontId="4" fillId="0" borderId="0" xfId="0" applyNumberFormat="1" applyFont="1" applyAlignment="1">
      <alignment horizontal="centerContinuous" vertical="center"/>
    </xf>
    <xf numFmtId="201" fontId="0" fillId="0" borderId="0" xfId="0" applyNumberFormat="1" applyAlignment="1">
      <alignment/>
    </xf>
    <xf numFmtId="202" fontId="4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8" fontId="4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7" fontId="0" fillId="0" borderId="0" xfId="46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202" fontId="22" fillId="0" borderId="0" xfId="0" applyNumberFormat="1" applyFont="1" applyAlignment="1">
      <alignment horizontal="centerContinuous" vertical="center"/>
    </xf>
    <xf numFmtId="0" fontId="4" fillId="0" borderId="47" xfId="0" applyFont="1" applyBorder="1" applyAlignment="1">
      <alignment/>
    </xf>
    <xf numFmtId="0" fontId="4" fillId="0" borderId="16" xfId="0" applyFont="1" applyBorder="1" applyAlignment="1">
      <alignment/>
    </xf>
    <xf numFmtId="205" fontId="4" fillId="0" borderId="0" xfId="0" applyNumberFormat="1" applyFont="1" applyBorder="1" applyAlignment="1">
      <alignment/>
    </xf>
    <xf numFmtId="206" fontId="0" fillId="0" borderId="0" xfId="0" applyNumberFormat="1" applyAlignment="1">
      <alignment/>
    </xf>
    <xf numFmtId="171" fontId="1" fillId="0" borderId="0" xfId="0" applyNumberFormat="1" applyFont="1" applyAlignment="1" applyProtection="1">
      <alignment/>
      <protection/>
    </xf>
    <xf numFmtId="17" fontId="7" fillId="0" borderId="0" xfId="0" applyNumberFormat="1" applyFont="1" applyAlignment="1">
      <alignment horizontal="centerContinuous" vertical="center"/>
    </xf>
    <xf numFmtId="0" fontId="9" fillId="0" borderId="21" xfId="0" applyFont="1" applyBorder="1" applyAlignment="1" quotePrefix="1">
      <alignment horizontal="center"/>
    </xf>
    <xf numFmtId="180" fontId="9" fillId="0" borderId="29" xfId="0" applyNumberFormat="1" applyFont="1" applyBorder="1" applyAlignment="1">
      <alignment horizontal="right"/>
    </xf>
    <xf numFmtId="0" fontId="25" fillId="0" borderId="0" xfId="0" applyFont="1" applyAlignment="1" applyProtection="1">
      <alignment/>
      <protection hidden="1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189" fontId="0" fillId="0" borderId="51" xfId="46" applyNumberFormat="1" applyFont="1" applyBorder="1" applyAlignment="1">
      <alignment/>
    </xf>
    <xf numFmtId="0" fontId="4" fillId="0" borderId="52" xfId="0" applyFont="1" applyBorder="1" applyAlignment="1">
      <alignment/>
    </xf>
    <xf numFmtId="189" fontId="0" fillId="0" borderId="53" xfId="46" applyNumberFormat="1" applyFont="1" applyBorder="1" applyAlignment="1">
      <alignment/>
    </xf>
    <xf numFmtId="189" fontId="0" fillId="0" borderId="54" xfId="46" applyNumberFormat="1" applyFont="1" applyBorder="1" applyAlignment="1">
      <alignment/>
    </xf>
    <xf numFmtId="0" fontId="4" fillId="0" borderId="55" xfId="0" applyFont="1" applyBorder="1" applyAlignment="1">
      <alignment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10" fontId="24" fillId="36" borderId="49" xfId="0" applyNumberFormat="1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180" fontId="0" fillId="36" borderId="56" xfId="0" applyNumberFormat="1" applyFont="1" applyFill="1" applyBorder="1" applyAlignment="1">
      <alignment/>
    </xf>
    <xf numFmtId="44" fontId="0" fillId="36" borderId="57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44" fontId="0" fillId="36" borderId="58" xfId="46" applyFont="1" applyFill="1" applyBorder="1" applyAlignment="1">
      <alignment/>
    </xf>
    <xf numFmtId="180" fontId="0" fillId="36" borderId="59" xfId="0" applyNumberFormat="1" applyFont="1" applyFill="1" applyBorder="1" applyAlignment="1">
      <alignment/>
    </xf>
    <xf numFmtId="180" fontId="0" fillId="36" borderId="60" xfId="0" applyNumberFormat="1" applyFont="1" applyFill="1" applyBorder="1" applyAlignment="1">
      <alignment/>
    </xf>
    <xf numFmtId="44" fontId="0" fillId="36" borderId="61" xfId="46" applyFont="1" applyFill="1" applyBorder="1" applyAlignment="1">
      <alignment/>
    </xf>
    <xf numFmtId="0" fontId="0" fillId="36" borderId="0" xfId="0" applyFill="1" applyAlignment="1">
      <alignment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/>
    </xf>
    <xf numFmtId="2" fontId="0" fillId="0" borderId="62" xfId="0" applyNumberFormat="1" applyFont="1" applyBorder="1" applyAlignment="1">
      <alignment/>
    </xf>
    <xf numFmtId="7" fontId="0" fillId="0" borderId="56" xfId="0" applyNumberFormat="1" applyFont="1" applyBorder="1" applyAlignment="1">
      <alignment/>
    </xf>
    <xf numFmtId="180" fontId="0" fillId="0" borderId="63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9" fillId="0" borderId="64" xfId="0" applyNumberFormat="1" applyFont="1" applyBorder="1" applyAlignment="1" applyProtection="1">
      <alignment/>
      <protection/>
    </xf>
    <xf numFmtId="167" fontId="9" fillId="0" borderId="65" xfId="0" applyNumberFormat="1" applyFont="1" applyBorder="1" applyAlignment="1" applyProtection="1">
      <alignment/>
      <protection/>
    </xf>
    <xf numFmtId="37" fontId="9" fillId="0" borderId="66" xfId="0" applyNumberFormat="1" applyFont="1" applyBorder="1" applyAlignment="1" applyProtection="1">
      <alignment/>
      <protection/>
    </xf>
    <xf numFmtId="167" fontId="9" fillId="0" borderId="67" xfId="0" applyNumberFormat="1" applyFont="1" applyBorder="1" applyAlignment="1" applyProtection="1">
      <alignment/>
      <protection/>
    </xf>
    <xf numFmtId="195" fontId="9" fillId="0" borderId="44" xfId="42" applyNumberFormat="1" applyFont="1" applyBorder="1" applyAlignment="1" applyProtection="1">
      <alignment/>
      <protection/>
    </xf>
    <xf numFmtId="194" fontId="9" fillId="0" borderId="45" xfId="42" applyNumberFormat="1" applyFont="1" applyBorder="1" applyAlignment="1" applyProtection="1">
      <alignment/>
      <protection/>
    </xf>
    <xf numFmtId="195" fontId="9" fillId="0" borderId="45" xfId="42" applyNumberFormat="1" applyFont="1" applyBorder="1" applyAlignment="1" applyProtection="1">
      <alignment/>
      <protection/>
    </xf>
    <xf numFmtId="194" fontId="9" fillId="0" borderId="66" xfId="42" applyNumberFormat="1" applyFont="1" applyBorder="1" applyAlignment="1" applyProtection="1">
      <alignment/>
      <protection/>
    </xf>
    <xf numFmtId="195" fontId="9" fillId="0" borderId="66" xfId="42" applyNumberFormat="1" applyFont="1" applyBorder="1" applyAlignment="1" applyProtection="1">
      <alignment/>
      <protection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82" fontId="0" fillId="0" borderId="51" xfId="0" applyNumberFormat="1" applyBorder="1" applyAlignment="1">
      <alignment/>
    </xf>
    <xf numFmtId="182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8" xfId="0" applyNumberFormat="1" applyBorder="1" applyAlignment="1">
      <alignment/>
    </xf>
    <xf numFmtId="182" fontId="0" fillId="0" borderId="54" xfId="0" applyNumberFormat="1" applyBorder="1" applyAlignment="1">
      <alignment/>
    </xf>
    <xf numFmtId="0" fontId="0" fillId="0" borderId="60" xfId="0" applyBorder="1" applyAlignment="1">
      <alignment/>
    </xf>
    <xf numFmtId="180" fontId="0" fillId="0" borderId="60" xfId="0" applyNumberFormat="1" applyBorder="1" applyAlignment="1">
      <alignment/>
    </xf>
    <xf numFmtId="180" fontId="0" fillId="0" borderId="61" xfId="0" applyNumberFormat="1" applyBorder="1" applyAlignment="1">
      <alignment/>
    </xf>
    <xf numFmtId="0" fontId="4" fillId="0" borderId="48" xfId="0" applyFont="1" applyBorder="1" applyAlignment="1">
      <alignment/>
    </xf>
    <xf numFmtId="10" fontId="24" fillId="0" borderId="49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182" fontId="0" fillId="0" borderId="56" xfId="0" applyNumberFormat="1" applyBorder="1" applyAlignment="1">
      <alignment/>
    </xf>
    <xf numFmtId="0" fontId="0" fillId="0" borderId="54" xfId="0" applyBorder="1" applyAlignment="1">
      <alignment/>
    </xf>
    <xf numFmtId="182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Border="1" applyAlignment="1">
      <alignment/>
    </xf>
    <xf numFmtId="187" fontId="21" fillId="36" borderId="0" xfId="0" applyNumberFormat="1" applyFont="1" applyFill="1" applyBorder="1" applyAlignment="1" applyProtection="1">
      <alignment horizontal="centerContinuous"/>
      <protection locked="0"/>
    </xf>
    <xf numFmtId="0" fontId="24" fillId="0" borderId="0" xfId="0" applyFont="1" applyAlignment="1">
      <alignment horizontal="centerContinuous" vertical="center"/>
    </xf>
    <xf numFmtId="0" fontId="24" fillId="0" borderId="52" xfId="0" applyFont="1" applyBorder="1" applyAlignment="1">
      <alignment horizontal="centerContinuous" vertical="center"/>
    </xf>
    <xf numFmtId="0" fontId="24" fillId="0" borderId="37" xfId="0" applyFont="1" applyBorder="1" applyAlignment="1">
      <alignment horizontal="centerContinuous" vertical="center"/>
    </xf>
    <xf numFmtId="0" fontId="24" fillId="0" borderId="46" xfId="0" applyFont="1" applyBorder="1" applyAlignment="1">
      <alignment horizontal="centerContinuous" vertical="center"/>
    </xf>
    <xf numFmtId="0" fontId="24" fillId="0" borderId="62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Continuous" vertical="center"/>
    </xf>
    <xf numFmtId="0" fontId="24" fillId="0" borderId="63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44" fontId="24" fillId="36" borderId="49" xfId="46" applyFont="1" applyFill="1" applyBorder="1" applyAlignment="1">
      <alignment horizontal="center"/>
    </xf>
    <xf numFmtId="44" fontId="24" fillId="36" borderId="50" xfId="46" applyFont="1" applyFill="1" applyBorder="1" applyAlignment="1">
      <alignment horizontal="center"/>
    </xf>
    <xf numFmtId="44" fontId="0" fillId="36" borderId="0" xfId="46" applyFont="1" applyFill="1" applyAlignment="1">
      <alignment/>
    </xf>
    <xf numFmtId="44" fontId="0" fillId="36" borderId="56" xfId="46" applyFont="1" applyFill="1" applyBorder="1" applyAlignment="1">
      <alignment/>
    </xf>
    <xf numFmtId="44" fontId="0" fillId="36" borderId="10" xfId="46" applyFont="1" applyFill="1" applyBorder="1" applyAlignment="1">
      <alignment/>
    </xf>
    <xf numFmtId="44" fontId="0" fillId="36" borderId="59" xfId="46" applyFont="1" applyFill="1" applyBorder="1" applyAlignment="1">
      <alignment/>
    </xf>
    <xf numFmtId="44" fontId="0" fillId="36" borderId="60" xfId="46" applyFont="1" applyFill="1" applyBorder="1" applyAlignment="1">
      <alignment/>
    </xf>
    <xf numFmtId="180" fontId="0" fillId="36" borderId="29" xfId="0" applyNumberFormat="1" applyFont="1" applyFill="1" applyBorder="1" applyAlignment="1">
      <alignment/>
    </xf>
    <xf numFmtId="44" fontId="0" fillId="36" borderId="29" xfId="46" applyFont="1" applyFill="1" applyBorder="1" applyAlignment="1">
      <alignment/>
    </xf>
    <xf numFmtId="44" fontId="0" fillId="36" borderId="73" xfId="46" applyFont="1" applyFill="1" applyBorder="1" applyAlignment="1">
      <alignment/>
    </xf>
    <xf numFmtId="0" fontId="0" fillId="36" borderId="74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37" fontId="9" fillId="33" borderId="75" xfId="0" applyNumberFormat="1" applyFont="1" applyFill="1" applyBorder="1" applyAlignment="1" applyProtection="1">
      <alignment/>
      <protection/>
    </xf>
    <xf numFmtId="37" fontId="9" fillId="33" borderId="44" xfId="0" applyNumberFormat="1" applyFont="1" applyFill="1" applyBorder="1" applyAlignment="1" applyProtection="1">
      <alignment/>
      <protection/>
    </xf>
    <xf numFmtId="37" fontId="9" fillId="33" borderId="76" xfId="0" applyNumberFormat="1" applyFont="1" applyFill="1" applyBorder="1" applyAlignment="1" applyProtection="1">
      <alignment/>
      <protection/>
    </xf>
    <xf numFmtId="37" fontId="9" fillId="33" borderId="45" xfId="0" applyNumberFormat="1" applyFont="1" applyFill="1" applyBorder="1" applyAlignment="1" applyProtection="1">
      <alignment/>
      <protection/>
    </xf>
    <xf numFmtId="37" fontId="9" fillId="33" borderId="77" xfId="0" applyNumberFormat="1" applyFont="1" applyFill="1" applyBorder="1" applyAlignment="1" applyProtection="1">
      <alignment/>
      <protection/>
    </xf>
    <xf numFmtId="37" fontId="9" fillId="33" borderId="66" xfId="0" applyNumberFormat="1" applyFont="1" applyFill="1" applyBorder="1" applyAlignment="1" applyProtection="1">
      <alignment/>
      <protection/>
    </xf>
    <xf numFmtId="0" fontId="0" fillId="0" borderId="7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33" borderId="5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0" xfId="0" applyFill="1" applyBorder="1" applyAlignment="1">
      <alignment/>
    </xf>
    <xf numFmtId="44" fontId="0" fillId="33" borderId="56" xfId="46" applyFont="1" applyFill="1" applyBorder="1" applyAlignment="1">
      <alignment/>
    </xf>
    <xf numFmtId="44" fontId="0" fillId="33" borderId="10" xfId="46" applyFont="1" applyFill="1" applyBorder="1" applyAlignment="1">
      <alignment/>
    </xf>
    <xf numFmtId="44" fontId="0" fillId="33" borderId="59" xfId="46" applyFont="1" applyFill="1" applyBorder="1" applyAlignment="1">
      <alignment/>
    </xf>
    <xf numFmtId="44" fontId="0" fillId="33" borderId="60" xfId="46" applyFont="1" applyFill="1" applyBorder="1" applyAlignment="1">
      <alignment/>
    </xf>
    <xf numFmtId="44" fontId="0" fillId="33" borderId="29" xfId="46" applyFont="1" applyFill="1" applyBorder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80" fontId="0" fillId="0" borderId="51" xfId="0" applyNumberFormat="1" applyBorder="1" applyAlignment="1">
      <alignment/>
    </xf>
    <xf numFmtId="0" fontId="0" fillId="0" borderId="26" xfId="0" applyBorder="1" applyAlignment="1">
      <alignment/>
    </xf>
    <xf numFmtId="0" fontId="24" fillId="0" borderId="38" xfId="0" applyFont="1" applyBorder="1" applyAlignment="1">
      <alignment horizontal="centerContinuous" vertical="center"/>
    </xf>
    <xf numFmtId="0" fontId="9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0" fillId="35" borderId="10" xfId="0" applyFill="1" applyBorder="1" applyAlignment="1">
      <alignment/>
    </xf>
    <xf numFmtId="209" fontId="24" fillId="36" borderId="49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/>
    </xf>
    <xf numFmtId="189" fontId="3" fillId="33" borderId="29" xfId="46" applyNumberFormat="1" applyFont="1" applyFill="1" applyBorder="1" applyAlignment="1" applyProtection="1">
      <alignment/>
      <protection locked="0"/>
    </xf>
    <xf numFmtId="189" fontId="3" fillId="0" borderId="0" xfId="46" applyNumberFormat="1" applyFont="1" applyFill="1" applyBorder="1" applyAlignment="1" applyProtection="1">
      <alignment/>
      <protection locked="0"/>
    </xf>
    <xf numFmtId="189" fontId="3" fillId="33" borderId="32" xfId="46" applyNumberFormat="1" applyFont="1" applyFill="1" applyBorder="1" applyAlignment="1" applyProtection="1">
      <alignment/>
      <protection locked="0"/>
    </xf>
    <xf numFmtId="189" fontId="3" fillId="33" borderId="26" xfId="46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189" fontId="27" fillId="34" borderId="0" xfId="46" applyNumberFormat="1" applyFont="1" applyFill="1" applyAlignment="1" applyProtection="1">
      <alignment/>
      <protection hidden="1"/>
    </xf>
    <xf numFmtId="0" fontId="9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/>
    </xf>
    <xf numFmtId="199" fontId="3" fillId="33" borderId="10" xfId="42" applyNumberFormat="1" applyFont="1" applyFill="1" applyBorder="1" applyAlignment="1" applyProtection="1">
      <alignment/>
      <protection locked="0"/>
    </xf>
    <xf numFmtId="0" fontId="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9" fillId="0" borderId="0" xfId="60" applyFont="1" applyFill="1" applyAlignment="1" applyProtection="1">
      <alignment horizontal="left"/>
      <protection hidden="1"/>
    </xf>
    <xf numFmtId="0" fontId="9" fillId="0" borderId="0" xfId="60" applyFont="1" applyFill="1" applyProtection="1">
      <alignment/>
      <protection hidden="1"/>
    </xf>
    <xf numFmtId="0" fontId="21" fillId="0" borderId="0" xfId="60" applyFont="1" applyFill="1" applyProtection="1">
      <alignment/>
      <protection hidden="1"/>
    </xf>
    <xf numFmtId="189" fontId="72" fillId="0" borderId="0" xfId="49" applyNumberFormat="1" applyFont="1" applyFill="1" applyBorder="1" applyAlignment="1" applyProtection="1">
      <alignment/>
      <protection locked="0"/>
    </xf>
    <xf numFmtId="0" fontId="9" fillId="0" borderId="0" xfId="60" applyFont="1" applyFill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10" fillId="0" borderId="0" xfId="60" applyFont="1" applyFill="1" applyProtection="1">
      <alignment/>
      <protection/>
    </xf>
    <xf numFmtId="189" fontId="28" fillId="37" borderId="10" xfId="49" applyNumberFormat="1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center"/>
      <protection hidden="1"/>
    </xf>
    <xf numFmtId="0" fontId="75" fillId="0" borderId="0" xfId="0" applyFont="1" applyFill="1" applyAlignment="1" applyProtection="1">
      <alignment/>
      <protection hidden="1"/>
    </xf>
    <xf numFmtId="0" fontId="76" fillId="0" borderId="0" xfId="0" applyFont="1" applyFill="1" applyAlignment="1" applyProtection="1">
      <alignment horizontal="center"/>
      <protection hidden="1"/>
    </xf>
    <xf numFmtId="0" fontId="76" fillId="0" borderId="0" xfId="0" applyFont="1" applyFill="1" applyAlignment="1" applyProtection="1">
      <alignment/>
      <protection hidden="1"/>
    </xf>
    <xf numFmtId="0" fontId="74" fillId="0" borderId="0" xfId="0" applyFont="1" applyFill="1" applyBorder="1" applyAlignment="1" applyProtection="1">
      <alignment/>
      <protection hidden="1"/>
    </xf>
    <xf numFmtId="195" fontId="73" fillId="0" borderId="0" xfId="0" applyNumberFormat="1" applyFont="1" applyFill="1" applyBorder="1" applyAlignment="1" applyProtection="1">
      <alignment/>
      <protection hidden="1"/>
    </xf>
    <xf numFmtId="0" fontId="77" fillId="0" borderId="0" xfId="0" applyFont="1" applyFill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5" fillId="0" borderId="0" xfId="0" applyFont="1" applyFill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/>
      <protection hidden="1"/>
    </xf>
    <xf numFmtId="171" fontId="77" fillId="0" borderId="0" xfId="0" applyNumberFormat="1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right"/>
      <protection hidden="1"/>
    </xf>
    <xf numFmtId="0" fontId="79" fillId="0" borderId="0" xfId="0" applyFont="1" applyFill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right"/>
      <protection hidden="1"/>
    </xf>
    <xf numFmtId="180" fontId="77" fillId="0" borderId="0" xfId="0" applyNumberFormat="1" applyFont="1" applyFill="1" applyAlignment="1" applyProtection="1">
      <alignment/>
      <protection hidden="1"/>
    </xf>
    <xf numFmtId="10" fontId="77" fillId="0" borderId="0" xfId="0" applyNumberFormat="1" applyFont="1" applyFill="1" applyBorder="1" applyAlignment="1" applyProtection="1">
      <alignment/>
      <protection hidden="1"/>
    </xf>
    <xf numFmtId="10" fontId="77" fillId="0" borderId="0" xfId="0" applyNumberFormat="1" applyFont="1" applyFill="1" applyAlignment="1" applyProtection="1">
      <alignment/>
      <protection hidden="1"/>
    </xf>
    <xf numFmtId="0" fontId="77" fillId="0" borderId="0" xfId="0" applyFont="1" applyFill="1" applyAlignment="1" applyProtection="1">
      <alignment horizontal="right"/>
      <protection hidden="1"/>
    </xf>
    <xf numFmtId="189" fontId="73" fillId="0" borderId="0" xfId="46" applyNumberFormat="1" applyFont="1" applyFill="1" applyBorder="1" applyAlignment="1" applyProtection="1">
      <alignment/>
      <protection hidden="1"/>
    </xf>
    <xf numFmtId="10" fontId="76" fillId="0" borderId="0" xfId="0" applyNumberFormat="1" applyFont="1" applyFill="1" applyAlignment="1" applyProtection="1">
      <alignment horizontal="right"/>
      <protection hidden="1"/>
    </xf>
    <xf numFmtId="0" fontId="76" fillId="0" borderId="0" xfId="0" applyFont="1" applyFill="1" applyAlignment="1" applyProtection="1">
      <alignment horizontal="right"/>
      <protection hidden="1"/>
    </xf>
    <xf numFmtId="0" fontId="77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 textRotation="88"/>
    </xf>
    <xf numFmtId="189" fontId="0" fillId="0" borderId="0" xfId="46" applyNumberFormat="1" applyFont="1" applyBorder="1" applyAlignment="1">
      <alignment/>
    </xf>
    <xf numFmtId="180" fontId="0" fillId="36" borderId="0" xfId="0" applyNumberFormat="1" applyFont="1" applyFill="1" applyBorder="1" applyAlignment="1">
      <alignment/>
    </xf>
    <xf numFmtId="44" fontId="0" fillId="36" borderId="0" xfId="46" applyFont="1" applyFill="1" applyBorder="1" applyAlignment="1">
      <alignment/>
    </xf>
    <xf numFmtId="44" fontId="0" fillId="33" borderId="0" xfId="46" applyFont="1" applyFill="1" applyBorder="1" applyAlignment="1">
      <alignment/>
    </xf>
    <xf numFmtId="18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0" fillId="0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Fill="1" applyAlignment="1" applyProtection="1" quotePrefix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213" fontId="75" fillId="0" borderId="0" xfId="63" applyNumberFormat="1" applyFont="1" applyFill="1" applyAlignment="1" applyProtection="1">
      <alignment/>
      <protection hidden="1"/>
    </xf>
    <xf numFmtId="189" fontId="75" fillId="0" borderId="0" xfId="46" applyNumberFormat="1" applyFont="1" applyFill="1" applyAlignment="1" applyProtection="1">
      <alignment/>
      <protection hidden="1"/>
    </xf>
    <xf numFmtId="213" fontId="75" fillId="0" borderId="0" xfId="0" applyNumberFormat="1" applyFont="1" applyFill="1" applyAlignment="1" applyProtection="1">
      <alignment/>
      <protection hidden="1"/>
    </xf>
    <xf numFmtId="189" fontId="1" fillId="0" borderId="0" xfId="46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13" xfId="0" applyFont="1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88"/>
    </xf>
    <xf numFmtId="0" fontId="0" fillId="0" borderId="85" xfId="0" applyBorder="1" applyAlignment="1">
      <alignment horizontal="center" vertical="center" textRotation="88"/>
    </xf>
    <xf numFmtId="0" fontId="0" fillId="0" borderId="20" xfId="0" applyBorder="1" applyAlignment="1">
      <alignment horizontal="center" vertical="center" textRotation="88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8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9" fillId="0" borderId="0" xfId="0" applyNumberFormat="1" applyFont="1" applyAlignment="1">
      <alignment horizontal="left"/>
    </xf>
    <xf numFmtId="7" fontId="81" fillId="33" borderId="10" xfId="0" applyNumberFormat="1" applyFont="1" applyFill="1" applyBorder="1" applyAlignme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mb.pa.gov/Bur&amp;Div\Enf&amp;Acct\Priceday\EXCEL\SIDE%202%20RESALE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INPUT"/>
      <sheetName val="AREA 1"/>
    </sheetNames>
    <sheetDataSet>
      <sheetData sheetId="0">
        <row r="30">
          <cell r="A30" t="str">
            <v>MAJOR WHOLESALE DISCOUNTS AVAILABLE  /1/</v>
          </cell>
        </row>
        <row r="32">
          <cell r="B32" t="str">
            <v>400 quarts/delivery &amp; over</v>
          </cell>
          <cell r="D32">
            <v>0.04</v>
          </cell>
          <cell r="E32" t="str">
            <v>    Qualified multi-store entities may receive an additional:</v>
          </cell>
        </row>
        <row r="33">
          <cell r="A33" t="str">
            <v>1</v>
          </cell>
          <cell r="B33" t="str">
            <v>700 quarts/delivery &amp; over</v>
          </cell>
          <cell r="D33">
            <v>0.07</v>
          </cell>
          <cell r="E33" t="str">
            <v>    1% on deliveries of 10,000 quarts/week &amp; over</v>
          </cell>
        </row>
        <row r="34">
          <cell r="B34" t="str">
            <v>1,200 quarts/delivery &amp; over </v>
          </cell>
          <cell r="D34">
            <v>0.13</v>
          </cell>
          <cell r="E34" t="str">
            <v>    2% on deliveries of 100,000 quarts/week &amp; over</v>
          </cell>
        </row>
        <row r="35">
          <cell r="B35" t="str">
            <v>200 quarts/delivery &amp; over</v>
          </cell>
          <cell r="D35">
            <v>0.04</v>
          </cell>
          <cell r="E35" t="str">
            <v>    2,500 quarts/delivery &amp; over  - 16%</v>
          </cell>
        </row>
        <row r="36">
          <cell r="A36" t="str">
            <v>2</v>
          </cell>
          <cell r="B36" t="str">
            <v>500 quarts/delivery &amp; over</v>
          </cell>
          <cell r="D36">
            <v>0.08</v>
          </cell>
          <cell r="E36" t="str">
            <v>    Qualified multi-store entities may receive an additional</v>
          </cell>
        </row>
        <row r="37">
          <cell r="B37" t="str">
            <v>1,000 quarts/delivery &amp; over</v>
          </cell>
          <cell r="D37">
            <v>0.13</v>
          </cell>
          <cell r="E37" t="str">
            <v>    2% on deliveries of 100,000 quarts/week &amp; over</v>
          </cell>
        </row>
        <row r="38">
          <cell r="B38" t="str">
            <v>100 quarts/delivery &amp; over</v>
          </cell>
          <cell r="D38">
            <v>0.04</v>
          </cell>
        </row>
        <row r="39">
          <cell r="A39" t="str">
            <v>3</v>
          </cell>
          <cell r="B39" t="str">
            <v>250 quarts/delivery &amp; over</v>
          </cell>
          <cell r="D39">
            <v>0.09</v>
          </cell>
          <cell r="E39" t="str">
            <v>    Qualified multi-store entities may receive an additional</v>
          </cell>
        </row>
        <row r="40">
          <cell r="B40" t="str">
            <v>400 quarts/delivery &amp; over</v>
          </cell>
          <cell r="D40">
            <v>0.13</v>
          </cell>
          <cell r="E40" t="str">
            <v>    2% on deliveries of 25,000 quarts/week &amp; over</v>
          </cell>
        </row>
        <row r="41">
          <cell r="B41" t="str">
            <v>200 quarts/delivery &amp; over</v>
          </cell>
          <cell r="D41" t="str">
            <v>$0.0223/qt</v>
          </cell>
          <cell r="E41" t="str">
            <v>    Wholesale customers picking up at the dock:</v>
          </cell>
        </row>
        <row r="42">
          <cell r="A42" t="str">
            <v>4</v>
          </cell>
          <cell r="B42" t="str">
            <v>500 quarts/delivery &amp; over</v>
          </cell>
          <cell r="D42" t="str">
            <v>$0.0764/qt</v>
          </cell>
          <cell r="E42" t="str">
            <v>    1,000 quarts/pickup &amp; over - 20%</v>
          </cell>
        </row>
        <row r="43">
          <cell r="B43" t="str">
            <v>1,000 quarts/delivery &amp; over</v>
          </cell>
          <cell r="D43" t="str">
            <v>$0.1010/qt</v>
          </cell>
          <cell r="E43" t="str">
            <v>    2,000 quarts/pickup &amp; over - 23%</v>
          </cell>
        </row>
        <row r="44">
          <cell r="B44" t="str">
            <v>400 quarts/delivery &amp; over</v>
          </cell>
          <cell r="D44">
            <v>0.04</v>
          </cell>
        </row>
        <row r="45">
          <cell r="A45" t="str">
            <v>5</v>
          </cell>
          <cell r="B45" t="str">
            <v>700 quarts/delivery &amp; over</v>
          </cell>
          <cell r="D45">
            <v>0.07</v>
          </cell>
          <cell r="E45" t="str">
            <v>    Qualified multi-store entities may receive an additional</v>
          </cell>
        </row>
        <row r="46">
          <cell r="B46" t="str">
            <v>1,400 quarts/delivery &amp; over </v>
          </cell>
          <cell r="D46">
            <v>0.1</v>
          </cell>
          <cell r="E46" t="str">
            <v>    2% on deliveries of 30,000 quarts/week &amp; over</v>
          </cell>
        </row>
        <row r="47">
          <cell r="B47" t="str">
            <v>200 quarts/delivery &amp; over</v>
          </cell>
          <cell r="D47">
            <v>0.04</v>
          </cell>
        </row>
        <row r="48">
          <cell r="A48" t="str">
            <v>6</v>
          </cell>
          <cell r="B48" t="str">
            <v>500 quarts/delivery &amp; over    </v>
          </cell>
          <cell r="D48">
            <v>0.075</v>
          </cell>
          <cell r="E48" t="str">
            <v>    Qualified multi-store entities may receive an additional</v>
          </cell>
        </row>
        <row r="49">
          <cell r="B49" t="str">
            <v>1,000 quarts/delivery &amp; over </v>
          </cell>
          <cell r="D49">
            <v>0.105</v>
          </cell>
          <cell r="E49" t="str">
            <v>    2% on deliveries of 25,000 quarts/week &amp; over</v>
          </cell>
        </row>
        <row r="51">
          <cell r="A51" t="str">
            <v>   /1/  SEE OFFICIAL GENERAL ORDERS FOR COMPLETE DETAILS AND QUALIFICATIONS FOR EACH</v>
          </cell>
        </row>
        <row r="52">
          <cell r="A52" t="str">
            <v>         AREA AND DISCOUNT.</v>
          </cell>
        </row>
        <row r="57">
          <cell r="B57">
            <v>36803.33405034722</v>
          </cell>
        </row>
        <row r="59">
          <cell r="B59" t="str">
            <v>October 04, 2000</v>
          </cell>
        </row>
        <row r="60">
          <cell r="B60" t="str">
            <v/>
          </cell>
        </row>
        <row r="75">
          <cell r="A75" t="str">
            <v>RESALE PRICES OF PROMINENT PRODUCTS AND SIZES</v>
          </cell>
        </row>
        <row r="76">
          <cell r="A76" t="e">
            <v>#NAME?</v>
          </cell>
        </row>
        <row r="77">
          <cell r="A77" t="str">
            <v>Issued on October 04, 2000</v>
          </cell>
        </row>
        <row r="78">
          <cell r="C78" t="str">
            <v>WHOLESALE</v>
          </cell>
          <cell r="G78" t="str">
            <v>RETAIL OUT-OF-STORE</v>
          </cell>
        </row>
        <row r="79">
          <cell r="C79" t="str">
            <v>HOMO</v>
          </cell>
          <cell r="D79" t="str">
            <v>REDUCED</v>
          </cell>
          <cell r="E79" t="str">
            <v>LOW-</v>
          </cell>
          <cell r="G79" t="str">
            <v>HOMO</v>
          </cell>
          <cell r="H79" t="str">
            <v>REDUCED</v>
          </cell>
          <cell r="I79" t="str">
            <v>LOW-</v>
          </cell>
        </row>
        <row r="80">
          <cell r="C80" t="str">
            <v>4% &amp;</v>
          </cell>
          <cell r="D80" t="str">
            <v>FAT</v>
          </cell>
          <cell r="E80" t="str">
            <v>FAT</v>
          </cell>
          <cell r="G80" t="str">
            <v>4% &amp;</v>
          </cell>
          <cell r="H80" t="str">
            <v>FAT</v>
          </cell>
          <cell r="I80" t="str">
            <v>FAT</v>
          </cell>
        </row>
        <row r="81">
          <cell r="A81" t="str">
            <v>AREA</v>
          </cell>
          <cell r="B81" t="str">
            <v>CONTAINER</v>
          </cell>
          <cell r="C81" t="str">
            <v>UNDER</v>
          </cell>
          <cell r="D81">
            <v>0.02</v>
          </cell>
          <cell r="E81">
            <v>0.01</v>
          </cell>
          <cell r="F81" t="str">
            <v>NONFAT</v>
          </cell>
          <cell r="G81" t="str">
            <v>UNDER</v>
          </cell>
          <cell r="H81">
            <v>0.02</v>
          </cell>
          <cell r="I81">
            <v>0.01</v>
          </cell>
          <cell r="J81" t="str">
            <v>NONFAT</v>
          </cell>
        </row>
        <row r="82">
          <cell r="B82" t="str">
            <v>GALLON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</row>
        <row r="83">
          <cell r="A83" t="str">
            <v>1-0</v>
          </cell>
          <cell r="B83" t="str">
            <v>HALF GALLON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</row>
        <row r="84">
          <cell r="B84" t="str">
            <v>QUART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</row>
        <row r="85">
          <cell r="B85" t="str">
            <v>GALLON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</row>
        <row r="86">
          <cell r="A86" t="str">
            <v>2-0</v>
          </cell>
          <cell r="B86" t="str">
            <v>HALF GALLON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</row>
        <row r="87">
          <cell r="B87" t="str">
            <v>QUART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</row>
        <row r="88">
          <cell r="B88" t="str">
            <v>GALLON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</row>
        <row r="89">
          <cell r="A89" t="str">
            <v>3-0</v>
          </cell>
          <cell r="B89" t="str">
            <v>HALF GALLON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</row>
        <row r="90">
          <cell r="B90" t="str">
            <v>QUART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</row>
        <row r="91">
          <cell r="B91" t="str">
            <v>GALLON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</row>
        <row r="92">
          <cell r="A92" t="str">
            <v>4-0</v>
          </cell>
          <cell r="B92" t="str">
            <v>HALF GALLON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</row>
        <row r="93">
          <cell r="B93" t="str">
            <v>QUART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</row>
        <row r="94">
          <cell r="B94" t="str">
            <v>GALLON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</row>
        <row r="95">
          <cell r="A95" t="str">
            <v>5-0</v>
          </cell>
          <cell r="B95" t="str">
            <v>HALF GALLON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</row>
        <row r="96">
          <cell r="B96" t="str">
            <v>QUART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</row>
        <row r="97">
          <cell r="B97" t="str">
            <v>GALLON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</row>
        <row r="98">
          <cell r="A98" t="str">
            <v>6-0</v>
          </cell>
          <cell r="B98" t="str">
            <v>HALF GALLON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</row>
        <row r="99">
          <cell r="B99" t="str">
            <v>QUART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3"/>
  <sheetViews>
    <sheetView tabSelected="1" zoomScale="75" zoomScaleNormal="75" zoomScalePageLayoutView="0" workbookViewId="0" topLeftCell="A1">
      <selection activeCell="Q19" sqref="Q19"/>
    </sheetView>
  </sheetViews>
  <sheetFormatPr defaultColWidth="9.140625" defaultRowHeight="12.75"/>
  <cols>
    <col min="1" max="1" width="39.7109375" style="90" customWidth="1"/>
    <col min="2" max="2" width="18.00390625" style="89" customWidth="1"/>
    <col min="3" max="3" width="3.421875" style="89" customWidth="1"/>
    <col min="4" max="4" width="10.421875" style="90" customWidth="1"/>
    <col min="5" max="5" width="13.8515625" style="90" customWidth="1"/>
    <col min="6" max="6" width="11.00390625" style="90" customWidth="1"/>
    <col min="7" max="7" width="11.28125" style="90" customWidth="1"/>
    <col min="8" max="16384" width="9.140625" style="89" customWidth="1"/>
  </cols>
  <sheetData>
    <row r="1" spans="1:9" ht="15.75" thickBot="1">
      <c r="A1" s="103" t="s">
        <v>155</v>
      </c>
      <c r="B1" s="1"/>
      <c r="I1" s="90"/>
    </row>
    <row r="2" spans="1:9" ht="19.5" thickBot="1">
      <c r="A2" s="251" t="s">
        <v>236</v>
      </c>
      <c r="B2" s="72" t="s">
        <v>0</v>
      </c>
      <c r="C2" s="91"/>
      <c r="D2" s="92"/>
      <c r="E2" s="92"/>
      <c r="F2" s="73"/>
      <c r="G2" s="93"/>
      <c r="H2" s="94"/>
      <c r="I2" s="90"/>
    </row>
    <row r="3" spans="1:9" ht="15">
      <c r="A3" s="266"/>
      <c r="B3" s="97"/>
      <c r="C3" s="71" t="s">
        <v>1</v>
      </c>
      <c r="D3" s="68" t="s">
        <v>2</v>
      </c>
      <c r="I3" s="90"/>
    </row>
    <row r="4" spans="1:9" ht="15">
      <c r="A4" s="1"/>
      <c r="B4" s="128"/>
      <c r="C4" s="71"/>
      <c r="D4" s="68"/>
      <c r="I4" s="68"/>
    </row>
    <row r="5" spans="1:4" ht="15">
      <c r="A5" s="222" t="s">
        <v>186</v>
      </c>
      <c r="B5" s="69"/>
      <c r="C5" s="71" t="s">
        <v>1</v>
      </c>
      <c r="D5" s="68" t="s">
        <v>6</v>
      </c>
    </row>
    <row r="6" spans="1:4" ht="15">
      <c r="A6" s="222" t="s">
        <v>187</v>
      </c>
      <c r="B6" s="105"/>
      <c r="C6" s="71" t="s">
        <v>1</v>
      </c>
      <c r="D6" s="68" t="s">
        <v>142</v>
      </c>
    </row>
    <row r="7" spans="1:4" ht="15">
      <c r="A7" s="1" t="s">
        <v>188</v>
      </c>
      <c r="B7" s="348"/>
      <c r="C7" s="71" t="s">
        <v>1</v>
      </c>
      <c r="D7" s="68" t="s">
        <v>6</v>
      </c>
    </row>
    <row r="8" spans="1:8" ht="15">
      <c r="A8" s="1" t="s">
        <v>189</v>
      </c>
      <c r="B8" s="105"/>
      <c r="C8" s="71" t="s">
        <v>1</v>
      </c>
      <c r="D8" s="68" t="s">
        <v>142</v>
      </c>
      <c r="H8" s="96"/>
    </row>
    <row r="9" spans="1:7" ht="15.75">
      <c r="A9" s="223" t="s">
        <v>180</v>
      </c>
      <c r="B9" s="267"/>
      <c r="C9" s="71" t="s">
        <v>1</v>
      </c>
      <c r="D9" s="68" t="s">
        <v>227</v>
      </c>
      <c r="E9" s="258"/>
      <c r="F9" s="258"/>
      <c r="G9" s="258"/>
    </row>
    <row r="10" spans="1:8" ht="15.75">
      <c r="A10" s="1" t="s">
        <v>163</v>
      </c>
      <c r="B10" s="100"/>
      <c r="C10" s="71"/>
      <c r="E10" s="258"/>
      <c r="F10" s="258"/>
      <c r="G10" s="258"/>
      <c r="H10" s="95"/>
    </row>
    <row r="11" spans="1:14" ht="15.75">
      <c r="A11" s="1"/>
      <c r="B11" s="102"/>
      <c r="C11" s="103"/>
      <c r="E11" s="258"/>
      <c r="F11" s="258"/>
      <c r="G11" s="258"/>
      <c r="H11" s="258"/>
      <c r="I11" s="102"/>
      <c r="J11" s="102"/>
      <c r="K11" s="102"/>
      <c r="L11" s="102"/>
      <c r="M11" s="102"/>
      <c r="N11" s="102"/>
    </row>
    <row r="12" spans="1:14" ht="15.75">
      <c r="A12" s="255" t="s">
        <v>8</v>
      </c>
      <c r="B12" s="244"/>
      <c r="C12" s="103"/>
      <c r="D12" s="258"/>
      <c r="E12" s="258"/>
      <c r="F12" s="258"/>
      <c r="G12" s="258"/>
      <c r="H12" s="258"/>
      <c r="I12" s="102"/>
      <c r="J12" s="102"/>
      <c r="K12" s="102"/>
      <c r="L12" s="102"/>
      <c r="M12" s="102"/>
      <c r="N12" s="102"/>
    </row>
    <row r="13" spans="1:14" ht="15.75">
      <c r="A13" s="256" t="s">
        <v>121</v>
      </c>
      <c r="B13" s="259"/>
      <c r="C13" s="103"/>
      <c r="D13" s="70" t="s">
        <v>3</v>
      </c>
      <c r="E13" s="70"/>
      <c r="F13" s="70"/>
      <c r="G13" s="70"/>
      <c r="H13" s="70"/>
      <c r="I13" s="102"/>
      <c r="J13" s="102"/>
      <c r="K13" s="102"/>
      <c r="L13" s="102"/>
      <c r="M13" s="102"/>
      <c r="N13" s="102"/>
    </row>
    <row r="14" spans="1:14" ht="15.75">
      <c r="A14" s="256" t="s">
        <v>122</v>
      </c>
      <c r="B14" s="261"/>
      <c r="C14" s="103"/>
      <c r="D14" s="70" t="s">
        <v>4</v>
      </c>
      <c r="E14" s="70"/>
      <c r="F14" s="70"/>
      <c r="G14" s="70"/>
      <c r="H14" s="70"/>
      <c r="I14" s="102"/>
      <c r="J14" s="102"/>
      <c r="K14" s="102"/>
      <c r="L14" s="102"/>
      <c r="M14" s="102"/>
      <c r="N14" s="102"/>
    </row>
    <row r="15" spans="1:14" ht="15.75">
      <c r="A15" s="256" t="s">
        <v>123</v>
      </c>
      <c r="B15" s="261"/>
      <c r="C15" s="103"/>
      <c r="D15" s="70" t="s">
        <v>5</v>
      </c>
      <c r="E15" s="70"/>
      <c r="F15" s="70"/>
      <c r="G15" s="70"/>
      <c r="H15" s="70"/>
      <c r="I15" s="102"/>
      <c r="J15" s="102"/>
      <c r="K15" s="102"/>
      <c r="L15" s="102"/>
      <c r="M15" s="102"/>
      <c r="N15" s="102"/>
    </row>
    <row r="16" spans="1:14" ht="15.75">
      <c r="A16" s="256" t="s">
        <v>124</v>
      </c>
      <c r="B16" s="261"/>
      <c r="C16" s="103"/>
      <c r="D16" s="70"/>
      <c r="E16" s="70"/>
      <c r="F16" s="70"/>
      <c r="G16" s="70"/>
      <c r="H16" s="70"/>
      <c r="I16" s="102"/>
      <c r="J16" s="102"/>
      <c r="K16" s="102"/>
      <c r="L16" s="102"/>
      <c r="M16" s="102"/>
      <c r="N16" s="102"/>
    </row>
    <row r="17" spans="1:14" ht="15.75" hidden="1">
      <c r="A17" s="256" t="s">
        <v>210</v>
      </c>
      <c r="B17" s="261">
        <v>0.063</v>
      </c>
      <c r="C17" s="103"/>
      <c r="D17" s="70"/>
      <c r="E17" s="70"/>
      <c r="F17" s="70"/>
      <c r="G17" s="70"/>
      <c r="H17" s="70"/>
      <c r="I17" s="317"/>
      <c r="J17" s="102"/>
      <c r="K17" s="102"/>
      <c r="L17" s="102"/>
      <c r="M17" s="102"/>
      <c r="N17" s="102"/>
    </row>
    <row r="18" spans="1:14" ht="15.75" hidden="1">
      <c r="A18" s="256" t="s">
        <v>211</v>
      </c>
      <c r="B18" s="261">
        <v>0.0855</v>
      </c>
      <c r="C18" s="103"/>
      <c r="D18" s="70"/>
      <c r="E18" s="70"/>
      <c r="F18" s="70"/>
      <c r="G18" s="70"/>
      <c r="H18" s="70"/>
      <c r="I18" s="317"/>
      <c r="J18" s="102"/>
      <c r="K18" s="102"/>
      <c r="L18" s="102"/>
      <c r="M18" s="102"/>
      <c r="N18" s="102"/>
    </row>
    <row r="19" spans="1:14" ht="15.75">
      <c r="A19" s="256" t="s">
        <v>125</v>
      </c>
      <c r="B19" s="261"/>
      <c r="C19" s="103"/>
      <c r="D19" s="70"/>
      <c r="E19" s="70"/>
      <c r="F19" s="70"/>
      <c r="G19" s="70"/>
      <c r="H19" s="70"/>
      <c r="I19" s="102"/>
      <c r="J19" s="102"/>
      <c r="K19" s="102"/>
      <c r="L19" s="102"/>
      <c r="M19" s="102"/>
      <c r="N19" s="102"/>
    </row>
    <row r="20" spans="1:14" ht="15.75">
      <c r="A20" s="256" t="s">
        <v>217</v>
      </c>
      <c r="B20" s="262"/>
      <c r="C20" s="103"/>
      <c r="D20" s="70"/>
      <c r="E20" s="264">
        <f>IF(ROUND(B20,2)&gt;B20,ROUND(B20,2),ROUND(B20+0.01,2))</f>
        <v>0.01</v>
      </c>
      <c r="F20" s="70"/>
      <c r="G20" s="70"/>
      <c r="H20" s="70"/>
      <c r="I20" s="102"/>
      <c r="J20" s="102"/>
      <c r="K20" s="102"/>
      <c r="L20" s="102"/>
      <c r="M20" s="102"/>
      <c r="N20" s="102"/>
    </row>
    <row r="21" spans="1:14" ht="15.75" hidden="1">
      <c r="A21" s="256" t="s">
        <v>126</v>
      </c>
      <c r="B21" s="261">
        <v>0.0386</v>
      </c>
      <c r="C21" s="103"/>
      <c r="D21" s="263"/>
      <c r="E21" s="263"/>
      <c r="F21" s="70"/>
      <c r="G21" s="70"/>
      <c r="H21" s="70"/>
      <c r="I21" s="317"/>
      <c r="J21" s="102"/>
      <c r="K21" s="102"/>
      <c r="L21" s="102"/>
      <c r="M21" s="102"/>
      <c r="N21" s="102"/>
    </row>
    <row r="22" spans="1:14" ht="15.75" hidden="1">
      <c r="A22" s="256" t="s">
        <v>119</v>
      </c>
      <c r="B22" s="262">
        <v>0.0781</v>
      </c>
      <c r="C22" s="103"/>
      <c r="D22" s="70" t="s">
        <v>228</v>
      </c>
      <c r="E22" s="70"/>
      <c r="F22" s="70"/>
      <c r="G22" s="70"/>
      <c r="H22" s="70"/>
      <c r="I22" s="317"/>
      <c r="J22" s="102"/>
      <c r="K22" s="102"/>
      <c r="L22" s="102"/>
      <c r="M22" s="102"/>
      <c r="N22" s="102"/>
    </row>
    <row r="23" spans="1:14" ht="15.75">
      <c r="A23" s="257"/>
      <c r="B23" s="260"/>
      <c r="C23" s="246"/>
      <c r="D23" s="258"/>
      <c r="E23" s="258"/>
      <c r="F23" s="258"/>
      <c r="G23" s="258"/>
      <c r="H23" s="258"/>
      <c r="I23" s="102"/>
      <c r="J23" s="102"/>
      <c r="K23" s="102"/>
      <c r="L23" s="102"/>
      <c r="M23" s="102"/>
      <c r="N23" s="102"/>
    </row>
    <row r="24" spans="1:14" ht="15.75">
      <c r="A24" s="276" t="s">
        <v>220</v>
      </c>
      <c r="B24" s="277"/>
      <c r="C24" s="274"/>
      <c r="D24" s="275"/>
      <c r="E24" s="258"/>
      <c r="F24" s="258"/>
      <c r="G24" s="258"/>
      <c r="H24" s="258"/>
      <c r="I24" s="102"/>
      <c r="J24" s="102"/>
      <c r="K24" s="102"/>
      <c r="L24" s="102"/>
      <c r="M24" s="102"/>
      <c r="N24" s="102"/>
    </row>
    <row r="25" spans="1:14" ht="15.75">
      <c r="A25" s="278" t="s">
        <v>221</v>
      </c>
      <c r="B25" s="281"/>
      <c r="C25" s="279" t="s">
        <v>1</v>
      </c>
      <c r="D25" s="280" t="s">
        <v>142</v>
      </c>
      <c r="E25" s="258"/>
      <c r="F25" s="258"/>
      <c r="G25" s="258"/>
      <c r="H25" s="258"/>
      <c r="I25" s="102"/>
      <c r="J25" s="102"/>
      <c r="K25" s="102"/>
      <c r="L25" s="102"/>
      <c r="M25" s="102"/>
      <c r="N25" s="102"/>
    </row>
    <row r="26" spans="1:14" ht="15.75">
      <c r="A26" s="278" t="s">
        <v>222</v>
      </c>
      <c r="B26" s="281"/>
      <c r="C26" s="279" t="s">
        <v>1</v>
      </c>
      <c r="D26" s="280" t="s">
        <v>142</v>
      </c>
      <c r="E26" s="258"/>
      <c r="F26" s="258"/>
      <c r="G26" s="258"/>
      <c r="H26" s="258"/>
      <c r="I26" s="102"/>
      <c r="J26" s="102"/>
      <c r="K26" s="102"/>
      <c r="L26" s="102"/>
      <c r="M26" s="102"/>
      <c r="N26" s="102"/>
    </row>
    <row r="27" spans="1:14" ht="15.75">
      <c r="A27" s="278" t="s">
        <v>226</v>
      </c>
      <c r="B27" s="281"/>
      <c r="C27" s="279" t="s">
        <v>1</v>
      </c>
      <c r="D27" s="280" t="s">
        <v>142</v>
      </c>
      <c r="E27" s="258"/>
      <c r="F27" s="258"/>
      <c r="G27" s="258"/>
      <c r="H27" s="258"/>
      <c r="I27" s="102"/>
      <c r="J27" s="102"/>
      <c r="K27" s="102"/>
      <c r="L27" s="102"/>
      <c r="M27" s="102"/>
      <c r="N27" s="102"/>
    </row>
    <row r="28" spans="1:15" s="319" customFormat="1" ht="15.75">
      <c r="A28" s="257"/>
      <c r="B28" s="326"/>
      <c r="C28" s="246"/>
      <c r="D28" s="327"/>
      <c r="E28" s="327"/>
      <c r="F28" s="327"/>
      <c r="G28" s="327"/>
      <c r="H28" s="327"/>
      <c r="I28" s="318"/>
      <c r="J28" s="318"/>
      <c r="K28" s="318"/>
      <c r="L28" s="318"/>
      <c r="M28" s="318"/>
      <c r="N28" s="318"/>
      <c r="O28" s="318"/>
    </row>
    <row r="29" spans="1:15" s="320" customFormat="1" ht="15.75">
      <c r="A29" s="282"/>
      <c r="B29" s="283" t="s">
        <v>204</v>
      </c>
      <c r="C29" s="284"/>
      <c r="D29" s="285"/>
      <c r="E29" s="285"/>
      <c r="F29" s="286"/>
      <c r="G29" s="286"/>
      <c r="H29" s="284"/>
      <c r="I29" s="284"/>
      <c r="J29" s="291"/>
      <c r="K29" s="291"/>
      <c r="L29" s="291"/>
      <c r="M29" s="291"/>
      <c r="N29" s="291"/>
      <c r="O29" s="291"/>
    </row>
    <row r="30" spans="1:15" s="320" customFormat="1" ht="15.75">
      <c r="A30" s="287" t="s">
        <v>7</v>
      </c>
      <c r="B30" s="288">
        <v>0.3451</v>
      </c>
      <c r="C30" s="284"/>
      <c r="D30" s="289"/>
      <c r="E30" s="289"/>
      <c r="F30" s="286"/>
      <c r="G30" s="286"/>
      <c r="H30" s="284"/>
      <c r="I30" s="284"/>
      <c r="J30" s="291"/>
      <c r="K30" s="291"/>
      <c r="L30" s="291"/>
      <c r="M30" s="291"/>
      <c r="N30" s="291"/>
      <c r="O30" s="291"/>
    </row>
    <row r="31" spans="1:15" s="320" customFormat="1" ht="15.75">
      <c r="A31" s="287"/>
      <c r="B31" s="290"/>
      <c r="C31" s="284"/>
      <c r="D31" s="286"/>
      <c r="E31" s="286"/>
      <c r="F31" s="286"/>
      <c r="G31" s="286"/>
      <c r="H31" s="316"/>
      <c r="I31" s="284"/>
      <c r="J31" s="291"/>
      <c r="K31" s="291"/>
      <c r="L31" s="291"/>
      <c r="M31" s="291"/>
      <c r="N31" s="291"/>
      <c r="O31" s="291"/>
    </row>
    <row r="32" spans="1:15" s="320" customFormat="1" ht="12.75">
      <c r="A32" s="291"/>
      <c r="B32" s="292"/>
      <c r="C32" s="284"/>
      <c r="D32" s="284"/>
      <c r="E32" s="284"/>
      <c r="F32" s="284"/>
      <c r="G32" s="284"/>
      <c r="H32" s="284"/>
      <c r="I32" s="284"/>
      <c r="J32" s="291"/>
      <c r="K32" s="291"/>
      <c r="L32" s="291"/>
      <c r="M32" s="291"/>
      <c r="N32" s="291"/>
      <c r="O32" s="291"/>
    </row>
    <row r="33" spans="1:15" s="320" customFormat="1" ht="15">
      <c r="A33" s="293"/>
      <c r="B33" s="293"/>
      <c r="C33" s="289"/>
      <c r="D33" s="289"/>
      <c r="E33" s="289"/>
      <c r="F33" s="289"/>
      <c r="G33" s="289"/>
      <c r="H33" s="289"/>
      <c r="I33" s="284"/>
      <c r="J33" s="291"/>
      <c r="K33" s="291"/>
      <c r="L33" s="291"/>
      <c r="M33" s="291"/>
      <c r="N33" s="291"/>
      <c r="O33" s="291"/>
    </row>
    <row r="34" spans="1:15" s="320" customFormat="1" ht="15.75">
      <c r="A34" s="294" t="s">
        <v>145</v>
      </c>
      <c r="B34" s="295">
        <v>0.0192</v>
      </c>
      <c r="C34" s="289"/>
      <c r="D34" s="289"/>
      <c r="E34" s="289"/>
      <c r="F34" s="289"/>
      <c r="G34" s="289"/>
      <c r="H34" s="289"/>
      <c r="I34" s="284"/>
      <c r="J34" s="291"/>
      <c r="K34" s="291"/>
      <c r="L34" s="291"/>
      <c r="M34" s="291"/>
      <c r="N34" s="291"/>
      <c r="O34" s="291"/>
    </row>
    <row r="35" spans="1:15" s="320" customFormat="1" ht="15.75">
      <c r="A35" s="294"/>
      <c r="B35" s="295"/>
      <c r="C35" s="289"/>
      <c r="D35" s="289"/>
      <c r="E35" s="289"/>
      <c r="F35" s="289"/>
      <c r="G35" s="289"/>
      <c r="H35" s="289"/>
      <c r="I35" s="284"/>
      <c r="J35" s="291"/>
      <c r="K35" s="291"/>
      <c r="L35" s="291"/>
      <c r="M35" s="291"/>
      <c r="N35" s="291"/>
      <c r="O35" s="291"/>
    </row>
    <row r="36" spans="1:15" s="320" customFormat="1" ht="15.75">
      <c r="A36" s="294" t="s">
        <v>208</v>
      </c>
      <c r="B36" s="295">
        <v>0</v>
      </c>
      <c r="C36" s="289"/>
      <c r="D36" s="289"/>
      <c r="E36" s="289"/>
      <c r="F36" s="289"/>
      <c r="G36" s="289"/>
      <c r="H36" s="289"/>
      <c r="I36" s="284"/>
      <c r="J36" s="291"/>
      <c r="K36" s="291"/>
      <c r="L36" s="291"/>
      <c r="M36" s="291"/>
      <c r="N36" s="291"/>
      <c r="O36" s="291"/>
    </row>
    <row r="37" spans="1:15" s="320" customFormat="1" ht="15">
      <c r="A37" s="296"/>
      <c r="B37" s="292"/>
      <c r="C37" s="321"/>
      <c r="D37" s="297"/>
      <c r="E37" s="284"/>
      <c r="F37" s="284"/>
      <c r="G37" s="284"/>
      <c r="H37" s="284"/>
      <c r="I37" s="284"/>
      <c r="J37" s="291"/>
      <c r="K37" s="291"/>
      <c r="L37" s="291"/>
      <c r="M37" s="291"/>
      <c r="N37" s="291"/>
      <c r="O37" s="291"/>
    </row>
    <row r="38" spans="1:15" s="320" customFormat="1" ht="15.75">
      <c r="A38" s="294" t="s">
        <v>12</v>
      </c>
      <c r="B38" s="292"/>
      <c r="C38" s="284"/>
      <c r="D38" s="284"/>
      <c r="E38" s="284"/>
      <c r="F38" s="284"/>
      <c r="G38" s="284"/>
      <c r="H38" s="284"/>
      <c r="I38" s="284"/>
      <c r="J38" s="291"/>
      <c r="K38" s="291"/>
      <c r="L38" s="291"/>
      <c r="M38" s="291"/>
      <c r="N38" s="291"/>
      <c r="O38" s="291"/>
    </row>
    <row r="39" spans="1:15" s="320" customFormat="1" ht="15">
      <c r="A39" s="293"/>
      <c r="B39" s="293"/>
      <c r="C39" s="289"/>
      <c r="D39" s="289"/>
      <c r="E39" s="289"/>
      <c r="F39" s="289"/>
      <c r="G39" s="289"/>
      <c r="H39" s="289"/>
      <c r="I39" s="289"/>
      <c r="J39" s="306"/>
      <c r="K39" s="291"/>
      <c r="L39" s="291"/>
      <c r="M39" s="291"/>
      <c r="N39" s="291"/>
      <c r="O39" s="291"/>
    </row>
    <row r="40" spans="1:15" s="320" customFormat="1" ht="15">
      <c r="A40" s="298" t="s">
        <v>164</v>
      </c>
      <c r="B40" s="289">
        <v>0</v>
      </c>
      <c r="C40" s="289"/>
      <c r="D40" s="289"/>
      <c r="E40" s="289"/>
      <c r="F40" s="289"/>
      <c r="G40" s="289"/>
      <c r="H40" s="289"/>
      <c r="I40" s="289"/>
      <c r="J40" s="306"/>
      <c r="K40" s="291"/>
      <c r="L40" s="291"/>
      <c r="M40" s="291"/>
      <c r="N40" s="291"/>
      <c r="O40" s="291"/>
    </row>
    <row r="41" spans="1:15" s="320" customFormat="1" ht="15">
      <c r="A41" s="298" t="s">
        <v>165</v>
      </c>
      <c r="B41" s="289">
        <v>0.0001</v>
      </c>
      <c r="C41" s="289"/>
      <c r="D41" s="289"/>
      <c r="E41" s="289"/>
      <c r="F41" s="289"/>
      <c r="G41" s="289"/>
      <c r="H41" s="289"/>
      <c r="I41" s="289"/>
      <c r="J41" s="306"/>
      <c r="K41" s="291"/>
      <c r="L41" s="291"/>
      <c r="M41" s="291"/>
      <c r="N41" s="291"/>
      <c r="O41" s="291"/>
    </row>
    <row r="42" spans="1:15" s="320" customFormat="1" ht="15">
      <c r="A42" s="298" t="s">
        <v>166</v>
      </c>
      <c r="B42" s="289">
        <v>0.0001</v>
      </c>
      <c r="C42" s="289"/>
      <c r="D42" s="289"/>
      <c r="E42" s="289"/>
      <c r="F42" s="289"/>
      <c r="G42" s="289"/>
      <c r="H42" s="289"/>
      <c r="I42" s="289"/>
      <c r="J42" s="306"/>
      <c r="K42" s="291"/>
      <c r="L42" s="291"/>
      <c r="M42" s="291"/>
      <c r="N42" s="291"/>
      <c r="O42" s="291"/>
    </row>
    <row r="43" spans="1:15" s="320" customFormat="1" ht="15">
      <c r="A43" s="298" t="s">
        <v>167</v>
      </c>
      <c r="B43" s="289">
        <v>0.0001</v>
      </c>
      <c r="C43" s="289"/>
      <c r="D43" s="289"/>
      <c r="E43" s="289"/>
      <c r="F43" s="289"/>
      <c r="G43" s="289"/>
      <c r="H43" s="289"/>
      <c r="I43" s="289"/>
      <c r="J43" s="306"/>
      <c r="K43" s="291"/>
      <c r="L43" s="291"/>
      <c r="M43" s="291"/>
      <c r="N43" s="291"/>
      <c r="O43" s="291"/>
    </row>
    <row r="44" spans="1:15" s="320" customFormat="1" ht="15">
      <c r="A44" s="298" t="s">
        <v>169</v>
      </c>
      <c r="B44" s="299">
        <f>B25</f>
        <v>0</v>
      </c>
      <c r="C44" s="299"/>
      <c r="D44" s="299"/>
      <c r="E44" s="299"/>
      <c r="F44" s="289"/>
      <c r="G44" s="289"/>
      <c r="H44" s="289"/>
      <c r="I44" s="289"/>
      <c r="J44" s="306"/>
      <c r="K44" s="291"/>
      <c r="L44" s="291"/>
      <c r="M44" s="291"/>
      <c r="N44" s="291"/>
      <c r="O44" s="291"/>
    </row>
    <row r="45" spans="1:15" s="320" customFormat="1" ht="15">
      <c r="A45" s="298" t="s">
        <v>168</v>
      </c>
      <c r="B45" s="299">
        <f>B26</f>
        <v>0</v>
      </c>
      <c r="C45" s="299"/>
      <c r="D45" s="299"/>
      <c r="E45" s="299"/>
      <c r="F45" s="289"/>
      <c r="G45" s="289"/>
      <c r="H45" s="289"/>
      <c r="I45" s="289"/>
      <c r="J45" s="306"/>
      <c r="K45" s="291"/>
      <c r="L45" s="291"/>
      <c r="M45" s="291"/>
      <c r="N45" s="291"/>
      <c r="O45" s="291"/>
    </row>
    <row r="46" spans="1:15" s="320" customFormat="1" ht="15">
      <c r="A46" s="298" t="s">
        <v>223</v>
      </c>
      <c r="B46" s="299">
        <f>B27</f>
        <v>0</v>
      </c>
      <c r="C46" s="299"/>
      <c r="D46" s="299"/>
      <c r="E46" s="299"/>
      <c r="F46" s="289"/>
      <c r="G46" s="289"/>
      <c r="H46" s="289"/>
      <c r="I46" s="289"/>
      <c r="J46" s="306"/>
      <c r="K46" s="291"/>
      <c r="L46" s="291"/>
      <c r="M46" s="291"/>
      <c r="N46" s="291"/>
      <c r="O46" s="291"/>
    </row>
    <row r="47" spans="1:15" s="320" customFormat="1" ht="15">
      <c r="A47" s="298" t="s">
        <v>170</v>
      </c>
      <c r="B47" s="299">
        <v>0.0326</v>
      </c>
      <c r="C47" s="299"/>
      <c r="D47" s="299"/>
      <c r="E47" s="299"/>
      <c r="F47" s="289"/>
      <c r="G47" s="289"/>
      <c r="H47" s="289"/>
      <c r="I47" s="289"/>
      <c r="J47" s="306"/>
      <c r="K47" s="291"/>
      <c r="L47" s="291"/>
      <c r="M47" s="291"/>
      <c r="N47" s="291"/>
      <c r="O47" s="291"/>
    </row>
    <row r="48" spans="1:15" s="320" customFormat="1" ht="15">
      <c r="A48" s="298" t="s">
        <v>190</v>
      </c>
      <c r="B48" s="299">
        <v>0.2483</v>
      </c>
      <c r="C48" s="299"/>
      <c r="D48" s="299"/>
      <c r="E48" s="299"/>
      <c r="F48" s="289"/>
      <c r="G48" s="289"/>
      <c r="H48" s="289"/>
      <c r="I48" s="289"/>
      <c r="J48" s="306"/>
      <c r="K48" s="291"/>
      <c r="L48" s="291"/>
      <c r="M48" s="291"/>
      <c r="N48" s="291"/>
      <c r="O48" s="291"/>
    </row>
    <row r="49" spans="1:15" s="320" customFormat="1" ht="15">
      <c r="A49" s="293"/>
      <c r="B49" s="293"/>
      <c r="C49" s="289"/>
      <c r="D49" s="289"/>
      <c r="E49" s="289"/>
      <c r="F49" s="289"/>
      <c r="G49" s="289"/>
      <c r="H49" s="289"/>
      <c r="I49" s="289"/>
      <c r="J49" s="306"/>
      <c r="K49" s="291"/>
      <c r="L49" s="291"/>
      <c r="M49" s="291"/>
      <c r="N49" s="291"/>
      <c r="O49" s="291"/>
    </row>
    <row r="50" spans="1:15" s="320" customFormat="1" ht="15.75">
      <c r="A50" s="294" t="s">
        <v>17</v>
      </c>
      <c r="B50" s="293"/>
      <c r="C50" s="289"/>
      <c r="D50" s="289"/>
      <c r="E50" s="289"/>
      <c r="F50" s="289"/>
      <c r="G50" s="289"/>
      <c r="H50" s="289"/>
      <c r="I50" s="289"/>
      <c r="J50" s="306"/>
      <c r="K50" s="291"/>
      <c r="L50" s="291"/>
      <c r="M50" s="291"/>
      <c r="N50" s="291"/>
      <c r="O50" s="291"/>
    </row>
    <row r="51" spans="1:15" s="320" customFormat="1" ht="15">
      <c r="A51" s="293"/>
      <c r="B51" s="293"/>
      <c r="C51" s="289"/>
      <c r="D51" s="289"/>
      <c r="E51" s="289"/>
      <c r="F51" s="289"/>
      <c r="G51" s="289"/>
      <c r="H51" s="289"/>
      <c r="I51" s="289"/>
      <c r="J51" s="306"/>
      <c r="K51" s="291"/>
      <c r="L51" s="291"/>
      <c r="M51" s="291"/>
      <c r="N51" s="291"/>
      <c r="O51" s="291"/>
    </row>
    <row r="52" spans="1:15" s="320" customFormat="1" ht="15">
      <c r="A52" s="298" t="s">
        <v>171</v>
      </c>
      <c r="B52" s="289">
        <v>0.1978</v>
      </c>
      <c r="C52" s="289"/>
      <c r="D52" s="289"/>
      <c r="E52" s="289">
        <v>0.3211</v>
      </c>
      <c r="F52" s="289"/>
      <c r="G52" s="289"/>
      <c r="H52" s="289"/>
      <c r="I52" s="289"/>
      <c r="J52" s="306"/>
      <c r="K52" s="291"/>
      <c r="L52" s="291"/>
      <c r="M52" s="291"/>
      <c r="N52" s="291"/>
      <c r="O52" s="291"/>
    </row>
    <row r="53" spans="1:15" s="320" customFormat="1" ht="15">
      <c r="A53" s="298" t="s">
        <v>173</v>
      </c>
      <c r="B53" s="289">
        <v>0.0268</v>
      </c>
      <c r="C53" s="289"/>
      <c r="D53" s="289"/>
      <c r="E53" s="289">
        <v>0.0256</v>
      </c>
      <c r="F53" s="289"/>
      <c r="G53" s="289"/>
      <c r="H53" s="289"/>
      <c r="I53" s="289"/>
      <c r="J53" s="306"/>
      <c r="K53" s="291"/>
      <c r="L53" s="291"/>
      <c r="M53" s="291"/>
      <c r="N53" s="291"/>
      <c r="O53" s="291"/>
    </row>
    <row r="54" spans="1:15" s="320" customFormat="1" ht="15">
      <c r="A54" s="298" t="s">
        <v>172</v>
      </c>
      <c r="B54" s="289">
        <v>0.2002</v>
      </c>
      <c r="C54" s="289"/>
      <c r="D54" s="289"/>
      <c r="E54" s="289">
        <v>0.6317</v>
      </c>
      <c r="F54" s="289"/>
      <c r="G54" s="289"/>
      <c r="H54" s="289"/>
      <c r="I54" s="289"/>
      <c r="J54" s="306"/>
      <c r="K54" s="291"/>
      <c r="L54" s="291"/>
      <c r="M54" s="291"/>
      <c r="N54" s="291"/>
      <c r="O54" s="291"/>
    </row>
    <row r="55" spans="1:15" s="320" customFormat="1" ht="15">
      <c r="A55" s="298" t="s">
        <v>174</v>
      </c>
      <c r="B55" s="289">
        <v>0.6947</v>
      </c>
      <c r="C55" s="289"/>
      <c r="D55" s="289"/>
      <c r="E55" s="289">
        <v>1.1582</v>
      </c>
      <c r="F55" s="289"/>
      <c r="G55" s="289"/>
      <c r="H55" s="289"/>
      <c r="I55" s="289"/>
      <c r="J55" s="306"/>
      <c r="K55" s="291"/>
      <c r="L55" s="291"/>
      <c r="M55" s="291"/>
      <c r="N55" s="291"/>
      <c r="O55" s="291"/>
    </row>
    <row r="56" spans="1:15" s="320" customFormat="1" ht="15">
      <c r="A56" s="293"/>
      <c r="B56" s="293"/>
      <c r="C56" s="289"/>
      <c r="D56" s="289"/>
      <c r="E56" s="289"/>
      <c r="F56" s="289"/>
      <c r="G56" s="289"/>
      <c r="H56" s="289"/>
      <c r="I56" s="289"/>
      <c r="J56" s="306"/>
      <c r="K56" s="291"/>
      <c r="L56" s="291"/>
      <c r="M56" s="291"/>
      <c r="N56" s="291"/>
      <c r="O56" s="291"/>
    </row>
    <row r="57" spans="1:15" s="320" customFormat="1" ht="15.75">
      <c r="A57" s="294" t="s">
        <v>159</v>
      </c>
      <c r="B57" s="300">
        <v>0.035</v>
      </c>
      <c r="C57" s="289"/>
      <c r="D57" s="301">
        <v>0.035</v>
      </c>
      <c r="E57" s="301">
        <v>0.025</v>
      </c>
      <c r="F57" s="289"/>
      <c r="G57" s="289"/>
      <c r="H57" s="289"/>
      <c r="I57" s="289"/>
      <c r="J57" s="306"/>
      <c r="K57" s="291"/>
      <c r="L57" s="291"/>
      <c r="M57" s="291"/>
      <c r="N57" s="291"/>
      <c r="O57" s="291"/>
    </row>
    <row r="58" spans="1:15" s="320" customFormat="1" ht="15">
      <c r="A58" s="293"/>
      <c r="B58" s="293"/>
      <c r="C58" s="289"/>
      <c r="D58" s="289"/>
      <c r="E58" s="289"/>
      <c r="F58" s="289"/>
      <c r="G58" s="289"/>
      <c r="H58" s="289"/>
      <c r="I58" s="289"/>
      <c r="J58" s="306"/>
      <c r="K58" s="291"/>
      <c r="L58" s="291"/>
      <c r="M58" s="291"/>
      <c r="N58" s="291"/>
      <c r="O58" s="291"/>
    </row>
    <row r="59" spans="1:15" s="320" customFormat="1" ht="15.75">
      <c r="A59" s="286" t="s">
        <v>161</v>
      </c>
      <c r="B59" s="289">
        <v>0.0013</v>
      </c>
      <c r="C59" s="289"/>
      <c r="D59" s="289"/>
      <c r="E59" s="289"/>
      <c r="F59" s="289"/>
      <c r="G59" s="289"/>
      <c r="H59" s="289"/>
      <c r="I59" s="289"/>
      <c r="J59" s="306"/>
      <c r="K59" s="291"/>
      <c r="L59" s="291"/>
      <c r="M59" s="291"/>
      <c r="N59" s="291"/>
      <c r="O59" s="291"/>
    </row>
    <row r="60" spans="1:15" s="320" customFormat="1" ht="15">
      <c r="A60" s="289"/>
      <c r="B60" s="289"/>
      <c r="C60" s="289"/>
      <c r="D60" s="289"/>
      <c r="E60" s="289"/>
      <c r="F60" s="289"/>
      <c r="G60" s="289"/>
      <c r="H60" s="289"/>
      <c r="I60" s="289"/>
      <c r="J60" s="306"/>
      <c r="K60" s="291"/>
      <c r="L60" s="291"/>
      <c r="M60" s="291"/>
      <c r="N60" s="291"/>
      <c r="O60" s="291"/>
    </row>
    <row r="61" spans="1:15" s="320" customFormat="1" ht="15.75">
      <c r="A61" s="286" t="s">
        <v>162</v>
      </c>
      <c r="B61" s="289"/>
      <c r="C61" s="289"/>
      <c r="D61" s="289"/>
      <c r="E61" s="289"/>
      <c r="F61" s="289"/>
      <c r="G61" s="289"/>
      <c r="H61" s="289"/>
      <c r="I61" s="289"/>
      <c r="J61" s="306"/>
      <c r="K61" s="291"/>
      <c r="L61" s="291"/>
      <c r="M61" s="291"/>
      <c r="N61" s="291"/>
      <c r="O61" s="291"/>
    </row>
    <row r="62" spans="1:15" s="320" customFormat="1" ht="15">
      <c r="A62" s="289"/>
      <c r="B62" s="289"/>
      <c r="C62" s="289"/>
      <c r="D62" s="289"/>
      <c r="E62" s="289"/>
      <c r="F62" s="289"/>
      <c r="G62" s="289"/>
      <c r="H62" s="289"/>
      <c r="I62" s="289"/>
      <c r="J62" s="306"/>
      <c r="K62" s="291"/>
      <c r="L62" s="291"/>
      <c r="M62" s="291"/>
      <c r="N62" s="291"/>
      <c r="O62" s="291"/>
    </row>
    <row r="63" spans="1:15" s="320" customFormat="1" ht="15">
      <c r="A63" s="302" t="s">
        <v>121</v>
      </c>
      <c r="B63" s="299">
        <v>-0.1067</v>
      </c>
      <c r="C63" s="289"/>
      <c r="D63" s="299"/>
      <c r="E63" s="299"/>
      <c r="F63" s="289"/>
      <c r="G63" s="289"/>
      <c r="H63" s="289"/>
      <c r="I63" s="289"/>
      <c r="J63" s="306"/>
      <c r="K63" s="291"/>
      <c r="L63" s="291"/>
      <c r="M63" s="291"/>
      <c r="N63" s="291"/>
      <c r="O63" s="291"/>
    </row>
    <row r="64" spans="1:15" s="320" customFormat="1" ht="15">
      <c r="A64" s="302" t="s">
        <v>122</v>
      </c>
      <c r="B64" s="299">
        <v>-0.0317</v>
      </c>
      <c r="C64" s="289"/>
      <c r="D64" s="299"/>
      <c r="E64" s="299"/>
      <c r="F64" s="289"/>
      <c r="G64" s="289"/>
      <c r="H64" s="289"/>
      <c r="I64" s="289"/>
      <c r="J64" s="306"/>
      <c r="K64" s="291"/>
      <c r="L64" s="291"/>
      <c r="M64" s="291"/>
      <c r="N64" s="291"/>
      <c r="O64" s="291"/>
    </row>
    <row r="65" spans="1:15" s="320" customFormat="1" ht="15">
      <c r="A65" s="302" t="s">
        <v>123</v>
      </c>
      <c r="B65" s="299">
        <v>0.0467</v>
      </c>
      <c r="C65" s="289"/>
      <c r="D65" s="299"/>
      <c r="E65" s="299"/>
      <c r="F65" s="289"/>
      <c r="G65" s="289"/>
      <c r="H65" s="289"/>
      <c r="I65" s="289"/>
      <c r="J65" s="306"/>
      <c r="K65" s="291"/>
      <c r="L65" s="291"/>
      <c r="M65" s="291"/>
      <c r="N65" s="291"/>
      <c r="O65" s="291"/>
    </row>
    <row r="66" spans="1:15" s="320" customFormat="1" ht="15">
      <c r="A66" s="302" t="s">
        <v>124</v>
      </c>
      <c r="B66" s="299">
        <v>0.0633</v>
      </c>
      <c r="C66" s="289"/>
      <c r="D66" s="299"/>
      <c r="E66" s="299"/>
      <c r="F66" s="289"/>
      <c r="G66" s="289"/>
      <c r="H66" s="289"/>
      <c r="I66" s="289"/>
      <c r="J66" s="306"/>
      <c r="K66" s="291"/>
      <c r="L66" s="291"/>
      <c r="M66" s="291"/>
      <c r="N66" s="291"/>
      <c r="O66" s="291"/>
    </row>
    <row r="67" spans="1:15" s="320" customFormat="1" ht="15">
      <c r="A67" s="302" t="s">
        <v>214</v>
      </c>
      <c r="B67" s="299">
        <v>0</v>
      </c>
      <c r="C67" s="289"/>
      <c r="D67" s="299"/>
      <c r="E67" s="299"/>
      <c r="F67" s="289"/>
      <c r="G67" s="289"/>
      <c r="H67" s="289"/>
      <c r="I67" s="289"/>
      <c r="J67" s="306"/>
      <c r="K67" s="291"/>
      <c r="L67" s="291"/>
      <c r="M67" s="291"/>
      <c r="N67" s="291"/>
      <c r="O67" s="291"/>
    </row>
    <row r="68" spans="1:15" s="320" customFormat="1" ht="15">
      <c r="A68" s="302" t="s">
        <v>213</v>
      </c>
      <c r="B68" s="299">
        <v>0</v>
      </c>
      <c r="C68" s="289"/>
      <c r="D68" s="299"/>
      <c r="E68" s="299"/>
      <c r="F68" s="289"/>
      <c r="G68" s="289"/>
      <c r="H68" s="289"/>
      <c r="I68" s="289"/>
      <c r="J68" s="306"/>
      <c r="K68" s="291"/>
      <c r="L68" s="291"/>
      <c r="M68" s="291"/>
      <c r="N68" s="291"/>
      <c r="O68" s="291"/>
    </row>
    <row r="69" spans="1:15" s="320" customFormat="1" ht="15">
      <c r="A69" s="302" t="s">
        <v>125</v>
      </c>
      <c r="B69" s="299">
        <v>0.0247</v>
      </c>
      <c r="C69" s="289"/>
      <c r="D69" s="299"/>
      <c r="E69" s="299"/>
      <c r="F69" s="289"/>
      <c r="G69" s="289"/>
      <c r="H69" s="289"/>
      <c r="I69" s="289"/>
      <c r="J69" s="306"/>
      <c r="K69" s="291"/>
      <c r="L69" s="291"/>
      <c r="M69" s="291"/>
      <c r="N69" s="291"/>
      <c r="O69" s="291"/>
    </row>
    <row r="70" spans="1:15" s="320" customFormat="1" ht="15">
      <c r="A70" s="302" t="s">
        <v>126</v>
      </c>
      <c r="B70" s="299">
        <v>0.0414</v>
      </c>
      <c r="C70" s="289"/>
      <c r="D70" s="299"/>
      <c r="E70" s="299"/>
      <c r="F70" s="289"/>
      <c r="G70" s="289"/>
      <c r="H70" s="289"/>
      <c r="I70" s="289"/>
      <c r="J70" s="306"/>
      <c r="K70" s="291"/>
      <c r="L70" s="291"/>
      <c r="M70" s="291"/>
      <c r="N70" s="291"/>
      <c r="O70" s="291"/>
    </row>
    <row r="71" spans="1:15" s="320" customFormat="1" ht="15">
      <c r="A71" s="302" t="s">
        <v>119</v>
      </c>
      <c r="B71" s="299">
        <v>0.1682</v>
      </c>
      <c r="C71" s="289"/>
      <c r="D71" s="299"/>
      <c r="E71" s="299"/>
      <c r="F71" s="289"/>
      <c r="G71" s="289"/>
      <c r="H71" s="289"/>
      <c r="I71" s="289"/>
      <c r="J71" s="306"/>
      <c r="K71" s="291"/>
      <c r="L71" s="291"/>
      <c r="M71" s="291"/>
      <c r="N71" s="291"/>
      <c r="O71" s="291"/>
    </row>
    <row r="72" spans="1:15" s="320" customFormat="1" ht="15">
      <c r="A72" s="302"/>
      <c r="B72" s="289"/>
      <c r="C72" s="289"/>
      <c r="D72" s="289"/>
      <c r="E72" s="289"/>
      <c r="F72" s="289"/>
      <c r="G72" s="289"/>
      <c r="H72" s="289"/>
      <c r="I72" s="289"/>
      <c r="J72" s="306"/>
      <c r="K72" s="291"/>
      <c r="L72" s="291"/>
      <c r="M72" s="291"/>
      <c r="N72" s="291"/>
      <c r="O72" s="291"/>
    </row>
    <row r="73" spans="1:15" s="320" customFormat="1" ht="15.75">
      <c r="A73" s="286" t="s">
        <v>160</v>
      </c>
      <c r="B73" s="289"/>
      <c r="C73" s="289"/>
      <c r="D73" s="289"/>
      <c r="E73" s="289"/>
      <c r="F73" s="289"/>
      <c r="G73" s="289"/>
      <c r="H73" s="289"/>
      <c r="I73" s="289"/>
      <c r="J73" s="306"/>
      <c r="K73" s="291"/>
      <c r="L73" s="291"/>
      <c r="M73" s="291"/>
      <c r="N73" s="291"/>
      <c r="O73" s="291"/>
    </row>
    <row r="74" spans="1:15" s="320" customFormat="1" ht="15">
      <c r="A74" s="289"/>
      <c r="B74" s="289"/>
      <c r="C74" s="289"/>
      <c r="D74" s="289"/>
      <c r="E74" s="289"/>
      <c r="F74" s="289"/>
      <c r="G74" s="289"/>
      <c r="H74" s="289"/>
      <c r="I74" s="289"/>
      <c r="J74" s="306"/>
      <c r="K74" s="291"/>
      <c r="L74" s="291"/>
      <c r="M74" s="291"/>
      <c r="N74" s="291"/>
      <c r="O74" s="291"/>
    </row>
    <row r="75" spans="1:15" s="320" customFormat="1" ht="15">
      <c r="A75" s="302" t="s">
        <v>127</v>
      </c>
      <c r="B75" s="301">
        <v>0.135</v>
      </c>
      <c r="C75" s="289"/>
      <c r="D75" s="289"/>
      <c r="E75" s="289"/>
      <c r="F75" s="289"/>
      <c r="G75" s="289"/>
      <c r="H75" s="289"/>
      <c r="I75" s="289"/>
      <c r="J75" s="306"/>
      <c r="K75" s="291"/>
      <c r="L75" s="291"/>
      <c r="M75" s="291"/>
      <c r="N75" s="291"/>
      <c r="O75" s="291"/>
    </row>
    <row r="76" spans="1:15" s="320" customFormat="1" ht="15.75">
      <c r="A76" s="302"/>
      <c r="B76" s="289"/>
      <c r="C76" s="289"/>
      <c r="D76" s="289"/>
      <c r="E76" s="286"/>
      <c r="F76" s="286" t="s">
        <v>146</v>
      </c>
      <c r="G76" s="289"/>
      <c r="H76" s="289"/>
      <c r="I76" s="289"/>
      <c r="J76" s="306"/>
      <c r="K76" s="291"/>
      <c r="L76" s="291"/>
      <c r="M76" s="291"/>
      <c r="N76" s="291"/>
      <c r="O76" s="291"/>
    </row>
    <row r="77" spans="1:15" s="320" customFormat="1" ht="15">
      <c r="A77" s="302" t="s">
        <v>130</v>
      </c>
      <c r="B77" s="303">
        <f>ROUND(B81/208.49*Consumer_Price_Index,4)</f>
        <v>0</v>
      </c>
      <c r="C77" s="289"/>
      <c r="D77" s="289"/>
      <c r="E77" s="289"/>
      <c r="F77" s="289">
        <v>0.1709</v>
      </c>
      <c r="G77" s="289"/>
      <c r="H77" s="289"/>
      <c r="I77" s="289"/>
      <c r="J77" s="306"/>
      <c r="K77" s="291"/>
      <c r="L77" s="291"/>
      <c r="M77" s="291"/>
      <c r="N77" s="291"/>
      <c r="O77" s="291"/>
    </row>
    <row r="78" spans="1:15" s="320" customFormat="1" ht="15">
      <c r="A78" s="302"/>
      <c r="B78" s="289"/>
      <c r="C78" s="289"/>
      <c r="D78" s="289"/>
      <c r="E78" s="289"/>
      <c r="F78" s="289"/>
      <c r="G78" s="289"/>
      <c r="H78" s="289"/>
      <c r="I78" s="289"/>
      <c r="J78" s="306"/>
      <c r="K78" s="291"/>
      <c r="L78" s="291"/>
      <c r="M78" s="291"/>
      <c r="N78" s="291"/>
      <c r="O78" s="291"/>
    </row>
    <row r="79" spans="1:15" s="320" customFormat="1" ht="15">
      <c r="A79" s="302" t="s">
        <v>131</v>
      </c>
      <c r="B79" s="301">
        <v>0.027</v>
      </c>
      <c r="C79" s="289"/>
      <c r="D79" s="289"/>
      <c r="E79" s="301">
        <v>0.025</v>
      </c>
      <c r="F79" s="301">
        <v>0.035</v>
      </c>
      <c r="G79" s="289"/>
      <c r="H79" s="289"/>
      <c r="I79" s="289"/>
      <c r="J79" s="306"/>
      <c r="K79" s="291"/>
      <c r="L79" s="291"/>
      <c r="M79" s="291"/>
      <c r="N79" s="291"/>
      <c r="O79" s="291"/>
    </row>
    <row r="80" spans="1:15" s="320" customFormat="1" ht="15.75">
      <c r="A80" s="302"/>
      <c r="B80" s="301"/>
      <c r="C80" s="289"/>
      <c r="D80" s="291"/>
      <c r="E80" s="304" t="s">
        <v>182</v>
      </c>
      <c r="F80" s="305" t="s">
        <v>181</v>
      </c>
      <c r="G80" s="289"/>
      <c r="H80" s="289"/>
      <c r="I80" s="289"/>
      <c r="J80" s="306"/>
      <c r="K80" s="291"/>
      <c r="L80" s="291"/>
      <c r="M80" s="291"/>
      <c r="N80" s="291"/>
      <c r="O80" s="291"/>
    </row>
    <row r="81" spans="1:15" s="320" customFormat="1" ht="15">
      <c r="A81" s="302" t="s">
        <v>130</v>
      </c>
      <c r="B81" s="289">
        <v>0.1334</v>
      </c>
      <c r="C81" s="289"/>
      <c r="D81" s="291"/>
      <c r="E81" s="289">
        <v>0.1022</v>
      </c>
      <c r="F81" s="289">
        <v>0.1367</v>
      </c>
      <c r="G81" s="289"/>
      <c r="H81" s="289"/>
      <c r="I81" s="289"/>
      <c r="J81" s="306"/>
      <c r="K81" s="291"/>
      <c r="L81" s="291"/>
      <c r="M81" s="291"/>
      <c r="N81" s="291"/>
      <c r="O81" s="291"/>
    </row>
    <row r="82" spans="1:15" s="320" customFormat="1" ht="15">
      <c r="A82" s="289"/>
      <c r="B82" s="289"/>
      <c r="C82" s="289"/>
      <c r="D82" s="289"/>
      <c r="E82" s="289"/>
      <c r="F82" s="289"/>
      <c r="G82" s="289"/>
      <c r="H82" s="289"/>
      <c r="I82" s="289"/>
      <c r="J82" s="306"/>
      <c r="K82" s="291"/>
      <c r="L82" s="291"/>
      <c r="M82" s="291"/>
      <c r="N82" s="291"/>
      <c r="O82" s="291"/>
    </row>
    <row r="83" spans="1:15" s="320" customFormat="1" ht="15.75">
      <c r="A83" s="286" t="s">
        <v>147</v>
      </c>
      <c r="B83" s="289"/>
      <c r="C83" s="289"/>
      <c r="D83" s="289"/>
      <c r="E83" s="289"/>
      <c r="F83" s="289"/>
      <c r="G83" s="289"/>
      <c r="H83" s="289"/>
      <c r="I83" s="289"/>
      <c r="J83" s="306"/>
      <c r="K83" s="291"/>
      <c r="L83" s="291"/>
      <c r="M83" s="291"/>
      <c r="N83" s="291"/>
      <c r="O83" s="291"/>
    </row>
    <row r="84" spans="1:15" s="320" customFormat="1" ht="15">
      <c r="A84" s="306" t="s">
        <v>150</v>
      </c>
      <c r="B84" s="289">
        <v>0.0434</v>
      </c>
      <c r="C84" s="289"/>
      <c r="D84" s="289"/>
      <c r="E84" s="289"/>
      <c r="F84" s="289"/>
      <c r="G84" s="289"/>
      <c r="H84" s="289"/>
      <c r="I84" s="289"/>
      <c r="J84" s="306"/>
      <c r="K84" s="291"/>
      <c r="L84" s="291"/>
      <c r="M84" s="291"/>
      <c r="N84" s="291"/>
      <c r="O84" s="291"/>
    </row>
    <row r="85" spans="1:15" s="320" customFormat="1" ht="15">
      <c r="A85" s="306" t="s">
        <v>151</v>
      </c>
      <c r="B85" s="289">
        <v>0.0747</v>
      </c>
      <c r="C85" s="289"/>
      <c r="D85" s="289"/>
      <c r="E85" s="289"/>
      <c r="F85" s="289"/>
      <c r="G85" s="289"/>
      <c r="H85" s="289"/>
      <c r="I85" s="289"/>
      <c r="J85" s="306"/>
      <c r="K85" s="291"/>
      <c r="L85" s="291"/>
      <c r="M85" s="291"/>
      <c r="N85" s="291"/>
      <c r="O85" s="291"/>
    </row>
    <row r="86" spans="1:15" s="320" customFormat="1" ht="15">
      <c r="A86" s="306"/>
      <c r="B86" s="289"/>
      <c r="C86" s="289"/>
      <c r="D86" s="289"/>
      <c r="E86" s="289"/>
      <c r="F86" s="289"/>
      <c r="G86" s="289"/>
      <c r="H86" s="289"/>
      <c r="I86" s="289"/>
      <c r="J86" s="306"/>
      <c r="K86" s="291"/>
      <c r="L86" s="291"/>
      <c r="M86" s="291"/>
      <c r="N86" s="291"/>
      <c r="O86" s="291"/>
    </row>
    <row r="87" spans="1:15" s="320" customFormat="1" ht="15">
      <c r="A87" s="289" t="s">
        <v>121</v>
      </c>
      <c r="B87" s="289">
        <f>$B$84+(4*$B$85)</f>
        <v>0.3422</v>
      </c>
      <c r="C87" s="289"/>
      <c r="D87" s="289"/>
      <c r="E87" s="289"/>
      <c r="F87" s="289"/>
      <c r="G87" s="289"/>
      <c r="H87" s="289"/>
      <c r="I87" s="289"/>
      <c r="J87" s="306"/>
      <c r="K87" s="291"/>
      <c r="L87" s="291"/>
      <c r="M87" s="291"/>
      <c r="N87" s="291"/>
      <c r="O87" s="291"/>
    </row>
    <row r="88" spans="1:15" s="320" customFormat="1" ht="15">
      <c r="A88" s="289" t="s">
        <v>122</v>
      </c>
      <c r="B88" s="289">
        <f>$B$84+(2*$B$85)</f>
        <v>0.1928</v>
      </c>
      <c r="C88" s="284"/>
      <c r="D88" s="284"/>
      <c r="E88" s="284"/>
      <c r="F88" s="284"/>
      <c r="G88" s="284"/>
      <c r="H88" s="284"/>
      <c r="I88" s="284"/>
      <c r="J88" s="291"/>
      <c r="K88" s="291"/>
      <c r="L88" s="291"/>
      <c r="M88" s="291"/>
      <c r="N88" s="291"/>
      <c r="O88" s="291"/>
    </row>
    <row r="89" spans="1:15" s="320" customFormat="1" ht="15">
      <c r="A89" s="289" t="s">
        <v>123</v>
      </c>
      <c r="B89" s="289">
        <f>$B$84+($B$85)</f>
        <v>0.11810000000000001</v>
      </c>
      <c r="C89" s="284"/>
      <c r="D89" s="284"/>
      <c r="E89" s="284"/>
      <c r="F89" s="284"/>
      <c r="G89" s="284"/>
      <c r="H89" s="284"/>
      <c r="I89" s="284"/>
      <c r="J89" s="291"/>
      <c r="K89" s="291"/>
      <c r="L89" s="291"/>
      <c r="M89" s="291"/>
      <c r="N89" s="291"/>
      <c r="O89" s="291"/>
    </row>
    <row r="90" spans="1:15" s="320" customFormat="1" ht="15">
      <c r="A90" s="289" t="s">
        <v>124</v>
      </c>
      <c r="B90" s="289">
        <f>ROUND($B$84+($B$85/2),4)</f>
        <v>0.0808</v>
      </c>
      <c r="C90" s="284"/>
      <c r="D90" s="284"/>
      <c r="E90" s="284"/>
      <c r="F90" s="284"/>
      <c r="G90" s="284"/>
      <c r="H90" s="284"/>
      <c r="I90" s="284"/>
      <c r="J90" s="291"/>
      <c r="K90" s="291"/>
      <c r="L90" s="291"/>
      <c r="M90" s="291"/>
      <c r="N90" s="291"/>
      <c r="O90" s="291"/>
    </row>
    <row r="91" spans="1:15" s="320" customFormat="1" ht="15">
      <c r="A91" s="289" t="s">
        <v>152</v>
      </c>
      <c r="B91" s="289">
        <f>ROUND($B$84+($B$85/3),4)</f>
        <v>0.0683</v>
      </c>
      <c r="C91" s="284"/>
      <c r="D91" s="284"/>
      <c r="E91" s="284"/>
      <c r="F91" s="284"/>
      <c r="G91" s="284"/>
      <c r="H91" s="284"/>
      <c r="I91" s="284"/>
      <c r="J91" s="291"/>
      <c r="K91" s="291"/>
      <c r="L91" s="291"/>
      <c r="M91" s="291"/>
      <c r="N91" s="291"/>
      <c r="O91" s="291"/>
    </row>
    <row r="92" spans="1:15" s="320" customFormat="1" ht="15">
      <c r="A92" s="289" t="s">
        <v>148</v>
      </c>
      <c r="B92" s="289">
        <f>ROUND($B$84+($B$85/4),4)</f>
        <v>0.0621</v>
      </c>
      <c r="C92" s="284"/>
      <c r="D92" s="284"/>
      <c r="E92" s="284"/>
      <c r="F92" s="284"/>
      <c r="G92" s="284"/>
      <c r="H92" s="284"/>
      <c r="I92" s="284"/>
      <c r="J92" s="291"/>
      <c r="K92" s="291"/>
      <c r="L92" s="291"/>
      <c r="M92" s="291"/>
      <c r="N92" s="291"/>
      <c r="O92" s="291"/>
    </row>
    <row r="93" spans="1:15" s="320" customFormat="1" ht="15">
      <c r="A93" s="289" t="s">
        <v>149</v>
      </c>
      <c r="B93" s="289">
        <f>ROUND($B$84+($B$85/8),4)</f>
        <v>0.0527</v>
      </c>
      <c r="C93" s="284"/>
      <c r="D93" s="284"/>
      <c r="E93" s="284"/>
      <c r="F93" s="284"/>
      <c r="G93" s="284"/>
      <c r="H93" s="284"/>
      <c r="I93" s="284"/>
      <c r="J93" s="291"/>
      <c r="K93" s="291"/>
      <c r="L93" s="291"/>
      <c r="M93" s="291"/>
      <c r="N93" s="291"/>
      <c r="O93" s="291"/>
    </row>
    <row r="94" spans="1:15" s="320" customFormat="1" ht="15">
      <c r="A94" s="289"/>
      <c r="B94" s="284"/>
      <c r="C94" s="284"/>
      <c r="D94" s="284"/>
      <c r="E94" s="284"/>
      <c r="F94" s="284"/>
      <c r="G94" s="284"/>
      <c r="H94" s="284"/>
      <c r="I94" s="284"/>
      <c r="J94" s="291"/>
      <c r="K94" s="291"/>
      <c r="L94" s="291"/>
      <c r="M94" s="291"/>
      <c r="N94" s="291"/>
      <c r="O94" s="291"/>
    </row>
    <row r="95" spans="1:15" s="320" customFormat="1" ht="15">
      <c r="A95" s="289"/>
      <c r="B95" s="284"/>
      <c r="C95" s="284"/>
      <c r="D95" s="284"/>
      <c r="E95" s="284"/>
      <c r="F95" s="284"/>
      <c r="G95" s="284"/>
      <c r="H95" s="284"/>
      <c r="I95" s="284"/>
      <c r="J95" s="291"/>
      <c r="K95" s="291"/>
      <c r="L95" s="291"/>
      <c r="M95" s="291"/>
      <c r="N95" s="291"/>
      <c r="O95" s="291"/>
    </row>
    <row r="96" spans="1:15" s="320" customFormat="1" ht="15">
      <c r="A96" s="289"/>
      <c r="B96" s="284"/>
      <c r="C96" s="284"/>
      <c r="D96" s="284"/>
      <c r="E96" s="284"/>
      <c r="F96" s="284"/>
      <c r="G96" s="284"/>
      <c r="H96" s="284"/>
      <c r="I96" s="284"/>
      <c r="J96" s="291"/>
      <c r="K96" s="291"/>
      <c r="L96" s="291"/>
      <c r="M96" s="291"/>
      <c r="N96" s="291"/>
      <c r="O96" s="291"/>
    </row>
    <row r="97" spans="1:15" s="320" customFormat="1" ht="15">
      <c r="A97" s="289"/>
      <c r="B97" s="284"/>
      <c r="C97" s="284"/>
      <c r="D97" s="284"/>
      <c r="E97" s="284"/>
      <c r="F97" s="284"/>
      <c r="G97" s="284"/>
      <c r="H97" s="284"/>
      <c r="I97" s="284"/>
      <c r="J97" s="291"/>
      <c r="K97" s="291"/>
      <c r="L97" s="291"/>
      <c r="M97" s="291"/>
      <c r="N97" s="291"/>
      <c r="O97" s="291"/>
    </row>
    <row r="98" spans="1:15" s="320" customFormat="1" ht="15">
      <c r="A98" s="289" t="s">
        <v>229</v>
      </c>
      <c r="B98" s="284">
        <v>264.877</v>
      </c>
      <c r="C98" s="284"/>
      <c r="D98" s="284"/>
      <c r="E98" s="284"/>
      <c r="F98" s="284"/>
      <c r="G98" s="284"/>
      <c r="H98" s="284"/>
      <c r="I98" s="284"/>
      <c r="J98" s="291"/>
      <c r="K98" s="291"/>
      <c r="L98" s="291"/>
      <c r="M98" s="291"/>
      <c r="N98" s="291"/>
      <c r="O98" s="291"/>
    </row>
    <row r="99" spans="1:15" s="320" customFormat="1" ht="15">
      <c r="A99" s="289" t="s">
        <v>230</v>
      </c>
      <c r="B99" s="284">
        <f>Consumer_Price_Index</f>
        <v>0</v>
      </c>
      <c r="C99" s="284"/>
      <c r="D99" s="284"/>
      <c r="E99" s="284"/>
      <c r="F99" s="284"/>
      <c r="G99" s="284"/>
      <c r="H99" s="284"/>
      <c r="I99" s="284"/>
      <c r="J99" s="291"/>
      <c r="K99" s="291"/>
      <c r="L99" s="291"/>
      <c r="M99" s="291"/>
      <c r="N99" s="291"/>
      <c r="O99" s="291"/>
    </row>
    <row r="100" spans="1:15" s="320" customFormat="1" ht="15">
      <c r="A100" s="289" t="s">
        <v>231</v>
      </c>
      <c r="B100" s="323">
        <f>ROUND((B99-B98)/B98,6)</f>
        <v>-1</v>
      </c>
      <c r="C100" s="284"/>
      <c r="D100" s="284"/>
      <c r="E100" s="284"/>
      <c r="F100" s="284"/>
      <c r="G100" s="284"/>
      <c r="H100" s="284"/>
      <c r="I100" s="284"/>
      <c r="J100" s="291"/>
      <c r="K100" s="291"/>
      <c r="L100" s="291"/>
      <c r="M100" s="291"/>
      <c r="N100" s="291"/>
      <c r="O100" s="291"/>
    </row>
    <row r="101" spans="1:15" s="320" customFormat="1" ht="15">
      <c r="A101" s="289"/>
      <c r="B101" s="284"/>
      <c r="C101" s="284"/>
      <c r="D101" s="284"/>
      <c r="E101" s="284"/>
      <c r="F101" s="284"/>
      <c r="G101" s="284"/>
      <c r="H101" s="284"/>
      <c r="I101" s="284"/>
      <c r="J101" s="291"/>
      <c r="K101" s="291"/>
      <c r="L101" s="291"/>
      <c r="M101" s="291"/>
      <c r="N101" s="291"/>
      <c r="O101" s="291"/>
    </row>
    <row r="102" spans="1:15" s="320" customFormat="1" ht="15">
      <c r="A102" s="289"/>
      <c r="B102" s="284"/>
      <c r="C102" s="284"/>
      <c r="D102" s="284"/>
      <c r="E102" s="284"/>
      <c r="F102" s="284"/>
      <c r="G102" s="284"/>
      <c r="H102" s="284"/>
      <c r="I102" s="284"/>
      <c r="J102" s="291"/>
      <c r="K102" s="291"/>
      <c r="L102" s="291"/>
      <c r="M102" s="291"/>
      <c r="N102" s="291"/>
      <c r="O102" s="291"/>
    </row>
    <row r="103" spans="1:15" s="320" customFormat="1" ht="15">
      <c r="A103" s="289" t="s">
        <v>121</v>
      </c>
      <c r="B103" s="324">
        <v>0.4468</v>
      </c>
      <c r="C103" s="284"/>
      <c r="D103" s="325">
        <f>B100</f>
        <v>-1</v>
      </c>
      <c r="E103" s="324">
        <f>ROUND(B103*(1+D103),4)</f>
        <v>0</v>
      </c>
      <c r="F103" s="284"/>
      <c r="G103" s="284"/>
      <c r="H103" s="284"/>
      <c r="I103" s="284"/>
      <c r="J103" s="291"/>
      <c r="K103" s="291"/>
      <c r="L103" s="291"/>
      <c r="M103" s="291"/>
      <c r="N103" s="291"/>
      <c r="O103" s="291"/>
    </row>
    <row r="104" spans="1:15" s="320" customFormat="1" ht="15">
      <c r="A104" s="289" t="s">
        <v>122</v>
      </c>
      <c r="B104" s="324">
        <v>0.2679</v>
      </c>
      <c r="C104" s="284"/>
      <c r="D104" s="325">
        <f>B100</f>
        <v>-1</v>
      </c>
      <c r="E104" s="324">
        <f aca="true" t="shared" si="0" ref="E104:E111">ROUND(B104*(1+D104),4)</f>
        <v>0</v>
      </c>
      <c r="F104" s="284"/>
      <c r="G104" s="284"/>
      <c r="H104" s="284"/>
      <c r="I104" s="284"/>
      <c r="J104" s="291"/>
      <c r="K104" s="291"/>
      <c r="L104" s="291"/>
      <c r="M104" s="291"/>
      <c r="N104" s="291"/>
      <c r="O104" s="291"/>
    </row>
    <row r="105" spans="1:15" s="320" customFormat="1" ht="15">
      <c r="A105" s="289" t="s">
        <v>123</v>
      </c>
      <c r="B105" s="324">
        <v>0.1789</v>
      </c>
      <c r="C105" s="284"/>
      <c r="D105" s="325">
        <f>B100</f>
        <v>-1</v>
      </c>
      <c r="E105" s="324">
        <f t="shared" si="0"/>
        <v>0</v>
      </c>
      <c r="F105" s="284"/>
      <c r="G105" s="284"/>
      <c r="H105" s="284"/>
      <c r="I105" s="284"/>
      <c r="J105" s="291"/>
      <c r="K105" s="291"/>
      <c r="L105" s="291"/>
      <c r="M105" s="291"/>
      <c r="N105" s="291"/>
      <c r="O105" s="291"/>
    </row>
    <row r="106" spans="1:15" s="320" customFormat="1" ht="15">
      <c r="A106" s="289" t="s">
        <v>124</v>
      </c>
      <c r="B106" s="324">
        <v>0.1649</v>
      </c>
      <c r="C106" s="284"/>
      <c r="D106" s="325">
        <f>B100</f>
        <v>-1</v>
      </c>
      <c r="E106" s="324">
        <f t="shared" si="0"/>
        <v>0</v>
      </c>
      <c r="F106" s="284"/>
      <c r="G106" s="284"/>
      <c r="H106" s="284"/>
      <c r="I106" s="284"/>
      <c r="J106" s="291"/>
      <c r="K106" s="291"/>
      <c r="L106" s="291"/>
      <c r="M106" s="291"/>
      <c r="N106" s="291"/>
      <c r="O106" s="291"/>
    </row>
    <row r="107" spans="1:15" s="320" customFormat="1" ht="15">
      <c r="A107" s="289" t="s">
        <v>232</v>
      </c>
      <c r="B107" s="324">
        <v>0.1237</v>
      </c>
      <c r="C107" s="284"/>
      <c r="D107" s="325">
        <f>B100</f>
        <v>-1</v>
      </c>
      <c r="E107" s="324">
        <f t="shared" si="0"/>
        <v>0</v>
      </c>
      <c r="F107" s="284"/>
      <c r="G107" s="284"/>
      <c r="H107" s="284"/>
      <c r="I107" s="284"/>
      <c r="J107" s="291"/>
      <c r="K107" s="291"/>
      <c r="L107" s="291"/>
      <c r="M107" s="291"/>
      <c r="N107" s="291"/>
      <c r="O107" s="291"/>
    </row>
    <row r="108" spans="1:15" s="320" customFormat="1" ht="15">
      <c r="A108" s="289" t="s">
        <v>233</v>
      </c>
      <c r="B108" s="324">
        <v>0.1031</v>
      </c>
      <c r="C108" s="284"/>
      <c r="D108" s="325">
        <f>B100</f>
        <v>-1</v>
      </c>
      <c r="E108" s="324">
        <f t="shared" si="0"/>
        <v>0</v>
      </c>
      <c r="F108" s="284"/>
      <c r="G108" s="284"/>
      <c r="H108" s="284"/>
      <c r="I108" s="284"/>
      <c r="J108" s="291"/>
      <c r="K108" s="291"/>
      <c r="L108" s="291"/>
      <c r="M108" s="291"/>
      <c r="N108" s="291"/>
      <c r="O108" s="291"/>
    </row>
    <row r="109" spans="1:15" s="320" customFormat="1" ht="15">
      <c r="A109" s="289" t="s">
        <v>148</v>
      </c>
      <c r="B109" s="324">
        <v>0.0937</v>
      </c>
      <c r="C109" s="284"/>
      <c r="D109" s="325">
        <f>B100</f>
        <v>-1</v>
      </c>
      <c r="E109" s="324">
        <f t="shared" si="0"/>
        <v>0</v>
      </c>
      <c r="F109" s="284"/>
      <c r="G109" s="284"/>
      <c r="H109" s="284"/>
      <c r="I109" s="284"/>
      <c r="J109" s="291"/>
      <c r="K109" s="291"/>
      <c r="L109" s="291"/>
      <c r="M109" s="291"/>
      <c r="N109" s="291"/>
      <c r="O109" s="291"/>
    </row>
    <row r="110" spans="1:15" s="320" customFormat="1" ht="15">
      <c r="A110" s="289" t="s">
        <v>234</v>
      </c>
      <c r="B110" s="324">
        <v>0.0469</v>
      </c>
      <c r="C110" s="284"/>
      <c r="D110" s="325">
        <f>B100</f>
        <v>-1</v>
      </c>
      <c r="E110" s="324">
        <f t="shared" si="0"/>
        <v>0</v>
      </c>
      <c r="F110" s="284"/>
      <c r="G110" s="284"/>
      <c r="H110" s="284"/>
      <c r="I110" s="284"/>
      <c r="J110" s="291"/>
      <c r="K110" s="291"/>
      <c r="L110" s="291"/>
      <c r="M110" s="291"/>
      <c r="N110" s="291"/>
      <c r="O110" s="291"/>
    </row>
    <row r="111" spans="1:15" s="320" customFormat="1" ht="15">
      <c r="A111" s="289" t="s">
        <v>235</v>
      </c>
      <c r="B111" s="324">
        <v>0.1789</v>
      </c>
      <c r="C111" s="284"/>
      <c r="D111" s="325">
        <f>B100</f>
        <v>-1</v>
      </c>
      <c r="E111" s="324">
        <f t="shared" si="0"/>
        <v>0</v>
      </c>
      <c r="F111" s="284"/>
      <c r="G111" s="284"/>
      <c r="H111" s="284"/>
      <c r="I111" s="284"/>
      <c r="J111" s="291"/>
      <c r="K111" s="291"/>
      <c r="L111" s="291"/>
      <c r="M111" s="291"/>
      <c r="N111" s="291"/>
      <c r="O111" s="291"/>
    </row>
    <row r="112" spans="1:15" s="320" customFormat="1" ht="15">
      <c r="A112" s="289"/>
      <c r="B112" s="284"/>
      <c r="C112" s="284"/>
      <c r="D112" s="284"/>
      <c r="E112" s="284"/>
      <c r="F112" s="284"/>
      <c r="G112" s="284"/>
      <c r="H112" s="284"/>
      <c r="I112" s="284"/>
      <c r="J112" s="291"/>
      <c r="K112" s="291"/>
      <c r="L112" s="291"/>
      <c r="M112" s="291"/>
      <c r="N112" s="291"/>
      <c r="O112" s="291"/>
    </row>
    <row r="113" spans="1:15" s="319" customFormat="1" ht="15">
      <c r="A113" s="314"/>
      <c r="B113" s="315"/>
      <c r="C113" s="315"/>
      <c r="D113" s="315"/>
      <c r="E113" s="315"/>
      <c r="F113" s="315"/>
      <c r="G113" s="315"/>
      <c r="H113" s="315"/>
      <c r="I113" s="315"/>
      <c r="J113" s="318"/>
      <c r="K113" s="318"/>
      <c r="L113" s="318"/>
      <c r="M113" s="318"/>
      <c r="N113" s="318"/>
      <c r="O113" s="318"/>
    </row>
    <row r="114" spans="1:15" s="319" customFormat="1" ht="15">
      <c r="A114" s="314"/>
      <c r="B114" s="315"/>
      <c r="C114" s="315"/>
      <c r="D114" s="315"/>
      <c r="E114" s="315"/>
      <c r="F114" s="315"/>
      <c r="G114" s="315"/>
      <c r="H114" s="315"/>
      <c r="I114" s="315"/>
      <c r="J114" s="318"/>
      <c r="K114" s="318"/>
      <c r="L114" s="318"/>
      <c r="M114" s="318"/>
      <c r="N114" s="318"/>
      <c r="O114" s="318"/>
    </row>
    <row r="115" spans="1:15" s="319" customFormat="1" ht="15">
      <c r="A115" s="314"/>
      <c r="B115" s="315"/>
      <c r="C115" s="315"/>
      <c r="D115" s="315"/>
      <c r="E115" s="315"/>
      <c r="F115" s="315"/>
      <c r="G115" s="315"/>
      <c r="H115" s="315"/>
      <c r="I115" s="315"/>
      <c r="J115" s="318"/>
      <c r="K115" s="318"/>
      <c r="L115" s="318"/>
      <c r="M115" s="318"/>
      <c r="N115" s="318"/>
      <c r="O115" s="318"/>
    </row>
    <row r="116" spans="1:15" s="319" customFormat="1" ht="15">
      <c r="A116" s="314"/>
      <c r="B116" s="315"/>
      <c r="C116" s="315"/>
      <c r="D116" s="315"/>
      <c r="E116" s="315"/>
      <c r="F116" s="315"/>
      <c r="G116" s="315"/>
      <c r="H116" s="315"/>
      <c r="I116" s="315"/>
      <c r="J116" s="318"/>
      <c r="K116" s="318"/>
      <c r="L116" s="318"/>
      <c r="M116" s="318"/>
      <c r="N116" s="318"/>
      <c r="O116" s="318"/>
    </row>
    <row r="117" spans="1:15" s="319" customFormat="1" ht="15">
      <c r="A117" s="314"/>
      <c r="B117" s="315"/>
      <c r="C117" s="315"/>
      <c r="D117" s="315"/>
      <c r="E117" s="315"/>
      <c r="F117" s="315"/>
      <c r="G117" s="315"/>
      <c r="H117" s="315"/>
      <c r="I117" s="315"/>
      <c r="J117" s="318"/>
      <c r="K117" s="318"/>
      <c r="L117" s="318"/>
      <c r="M117" s="318"/>
      <c r="N117" s="318"/>
      <c r="O117" s="318"/>
    </row>
    <row r="118" spans="1:15" s="319" customFormat="1" ht="15">
      <c r="A118" s="314"/>
      <c r="B118" s="315"/>
      <c r="C118" s="315"/>
      <c r="D118" s="315"/>
      <c r="E118" s="315"/>
      <c r="F118" s="315"/>
      <c r="G118" s="315"/>
      <c r="H118" s="315"/>
      <c r="I118" s="315"/>
      <c r="J118" s="318"/>
      <c r="K118" s="318"/>
      <c r="L118" s="318"/>
      <c r="M118" s="318"/>
      <c r="N118" s="318"/>
      <c r="O118" s="318"/>
    </row>
    <row r="119" spans="1:15" s="319" customFormat="1" ht="15">
      <c r="A119" s="314"/>
      <c r="B119" s="315"/>
      <c r="C119" s="315"/>
      <c r="D119" s="315"/>
      <c r="E119" s="315"/>
      <c r="F119" s="315"/>
      <c r="G119" s="315"/>
      <c r="H119" s="315"/>
      <c r="I119" s="315"/>
      <c r="J119" s="318"/>
      <c r="K119" s="318"/>
      <c r="L119" s="318"/>
      <c r="M119" s="318"/>
      <c r="N119" s="318"/>
      <c r="O119" s="318"/>
    </row>
    <row r="120" spans="1:15" s="319" customFormat="1" ht="15">
      <c r="A120" s="314"/>
      <c r="B120" s="315"/>
      <c r="C120" s="315"/>
      <c r="D120" s="315"/>
      <c r="E120" s="315"/>
      <c r="F120" s="315"/>
      <c r="G120" s="315"/>
      <c r="H120" s="315"/>
      <c r="I120" s="315"/>
      <c r="J120" s="318"/>
      <c r="K120" s="318"/>
      <c r="L120" s="318"/>
      <c r="M120" s="318"/>
      <c r="N120" s="318"/>
      <c r="O120" s="318"/>
    </row>
    <row r="121" spans="1:15" s="319" customFormat="1" ht="15">
      <c r="A121" s="314"/>
      <c r="B121" s="315"/>
      <c r="C121" s="315"/>
      <c r="D121" s="315"/>
      <c r="E121" s="315"/>
      <c r="F121" s="315"/>
      <c r="G121" s="315"/>
      <c r="H121" s="315"/>
      <c r="I121" s="315"/>
      <c r="J121" s="318"/>
      <c r="K121" s="318"/>
      <c r="L121" s="318"/>
      <c r="M121" s="318"/>
      <c r="N121" s="318"/>
      <c r="O121" s="318"/>
    </row>
    <row r="122" spans="1:15" s="319" customFormat="1" ht="15">
      <c r="A122" s="314"/>
      <c r="B122" s="315"/>
      <c r="C122" s="315"/>
      <c r="D122" s="315"/>
      <c r="E122" s="315"/>
      <c r="F122" s="315"/>
      <c r="G122" s="315"/>
      <c r="H122" s="315"/>
      <c r="I122" s="315"/>
      <c r="J122" s="318"/>
      <c r="K122" s="318"/>
      <c r="L122" s="318"/>
      <c r="M122" s="318"/>
      <c r="N122" s="318"/>
      <c r="O122" s="318"/>
    </row>
    <row r="123" spans="1:15" s="319" customFormat="1" ht="15">
      <c r="A123" s="314"/>
      <c r="B123" s="315"/>
      <c r="C123" s="315"/>
      <c r="D123" s="315"/>
      <c r="E123" s="315"/>
      <c r="F123" s="315"/>
      <c r="G123" s="315"/>
      <c r="H123" s="315"/>
      <c r="I123" s="315"/>
      <c r="J123" s="318"/>
      <c r="K123" s="318"/>
      <c r="L123" s="318"/>
      <c r="M123" s="318"/>
      <c r="N123" s="318"/>
      <c r="O123" s="318"/>
    </row>
    <row r="124" spans="1:15" s="319" customFormat="1" ht="15">
      <c r="A124" s="314"/>
      <c r="B124" s="315"/>
      <c r="C124" s="315"/>
      <c r="D124" s="315"/>
      <c r="E124" s="315"/>
      <c r="F124" s="315"/>
      <c r="G124" s="315"/>
      <c r="H124" s="315"/>
      <c r="I124" s="315"/>
      <c r="J124" s="318"/>
      <c r="K124" s="318"/>
      <c r="L124" s="318"/>
      <c r="M124" s="318"/>
      <c r="N124" s="318"/>
      <c r="O124" s="318"/>
    </row>
    <row r="125" spans="1:15" s="319" customFormat="1" ht="15">
      <c r="A125" s="314"/>
      <c r="B125" s="315"/>
      <c r="C125" s="315"/>
      <c r="D125" s="315"/>
      <c r="E125" s="315"/>
      <c r="F125" s="315"/>
      <c r="G125" s="315"/>
      <c r="H125" s="315"/>
      <c r="I125" s="315"/>
      <c r="J125" s="318"/>
      <c r="K125" s="318"/>
      <c r="L125" s="318"/>
      <c r="M125" s="318"/>
      <c r="N125" s="318"/>
      <c r="O125" s="318"/>
    </row>
    <row r="126" spans="1:15" s="319" customFormat="1" ht="15">
      <c r="A126" s="314"/>
      <c r="B126" s="315"/>
      <c r="C126" s="315"/>
      <c r="D126" s="315"/>
      <c r="E126" s="315"/>
      <c r="F126" s="315"/>
      <c r="G126" s="315"/>
      <c r="H126" s="315"/>
      <c r="I126" s="315"/>
      <c r="J126" s="318"/>
      <c r="K126" s="318"/>
      <c r="L126" s="318"/>
      <c r="M126" s="318"/>
      <c r="N126" s="318"/>
      <c r="O126" s="318"/>
    </row>
    <row r="127" spans="1:15" s="319" customFormat="1" ht="15">
      <c r="A127" s="314"/>
      <c r="B127" s="315"/>
      <c r="C127" s="315"/>
      <c r="D127" s="315"/>
      <c r="E127" s="315"/>
      <c r="F127" s="315"/>
      <c r="G127" s="315"/>
      <c r="H127" s="315"/>
      <c r="I127" s="315"/>
      <c r="J127" s="318"/>
      <c r="K127" s="318"/>
      <c r="L127" s="318"/>
      <c r="M127" s="318"/>
      <c r="N127" s="318"/>
      <c r="O127" s="318"/>
    </row>
    <row r="128" spans="1:15" s="319" customFormat="1" ht="15">
      <c r="A128" s="314"/>
      <c r="B128" s="315"/>
      <c r="C128" s="315"/>
      <c r="D128" s="315"/>
      <c r="E128" s="315"/>
      <c r="F128" s="315"/>
      <c r="G128" s="315"/>
      <c r="H128" s="315"/>
      <c r="I128" s="315"/>
      <c r="J128" s="318"/>
      <c r="K128" s="318"/>
      <c r="L128" s="318"/>
      <c r="M128" s="318"/>
      <c r="N128" s="318"/>
      <c r="O128" s="318"/>
    </row>
    <row r="129" spans="1:15" s="319" customFormat="1" ht="15">
      <c r="A129" s="314"/>
      <c r="B129" s="315"/>
      <c r="C129" s="315"/>
      <c r="D129" s="315"/>
      <c r="E129" s="315"/>
      <c r="F129" s="315"/>
      <c r="G129" s="315"/>
      <c r="H129" s="315"/>
      <c r="I129" s="315"/>
      <c r="J129" s="318"/>
      <c r="K129" s="318"/>
      <c r="L129" s="318"/>
      <c r="M129" s="318"/>
      <c r="N129" s="318"/>
      <c r="O129" s="318"/>
    </row>
    <row r="130" spans="1:15" s="319" customFormat="1" ht="15">
      <c r="A130" s="314"/>
      <c r="B130" s="315"/>
      <c r="C130" s="315"/>
      <c r="D130" s="315"/>
      <c r="E130" s="315"/>
      <c r="F130" s="315"/>
      <c r="G130" s="315"/>
      <c r="H130" s="315"/>
      <c r="I130" s="315"/>
      <c r="J130" s="318"/>
      <c r="K130" s="318"/>
      <c r="L130" s="318"/>
      <c r="M130" s="318"/>
      <c r="N130" s="318"/>
      <c r="O130" s="318"/>
    </row>
    <row r="131" spans="1:15" s="319" customFormat="1" ht="15">
      <c r="A131" s="314"/>
      <c r="B131" s="315"/>
      <c r="C131" s="315"/>
      <c r="D131" s="315"/>
      <c r="E131" s="315"/>
      <c r="F131" s="315"/>
      <c r="G131" s="315"/>
      <c r="H131" s="315"/>
      <c r="I131" s="315"/>
      <c r="J131" s="318"/>
      <c r="K131" s="318"/>
      <c r="L131" s="318"/>
      <c r="M131" s="318"/>
      <c r="N131" s="318"/>
      <c r="O131" s="318"/>
    </row>
    <row r="132" spans="1:15" s="319" customFormat="1" ht="15">
      <c r="A132" s="314"/>
      <c r="B132" s="315"/>
      <c r="C132" s="315"/>
      <c r="D132" s="315"/>
      <c r="E132" s="315"/>
      <c r="F132" s="315"/>
      <c r="G132" s="315"/>
      <c r="H132" s="315"/>
      <c r="I132" s="315"/>
      <c r="J132" s="318"/>
      <c r="K132" s="318"/>
      <c r="L132" s="318"/>
      <c r="M132" s="318"/>
      <c r="N132" s="318"/>
      <c r="O132" s="318"/>
    </row>
    <row r="133" spans="1:15" s="319" customFormat="1" ht="15">
      <c r="A133" s="314"/>
      <c r="B133" s="315"/>
      <c r="C133" s="315"/>
      <c r="D133" s="315"/>
      <c r="E133" s="315"/>
      <c r="F133" s="315"/>
      <c r="G133" s="315"/>
      <c r="H133" s="315"/>
      <c r="I133" s="315"/>
      <c r="J133" s="318"/>
      <c r="K133" s="318"/>
      <c r="L133" s="318"/>
      <c r="M133" s="318"/>
      <c r="N133" s="318"/>
      <c r="O133" s="318"/>
    </row>
    <row r="134" spans="1:15" s="319" customFormat="1" ht="15">
      <c r="A134" s="314"/>
      <c r="B134" s="315"/>
      <c r="C134" s="315"/>
      <c r="D134" s="315"/>
      <c r="E134" s="315"/>
      <c r="F134" s="315"/>
      <c r="G134" s="315"/>
      <c r="H134" s="315"/>
      <c r="I134" s="315"/>
      <c r="J134" s="318"/>
      <c r="K134" s="318"/>
      <c r="L134" s="318"/>
      <c r="M134" s="318"/>
      <c r="N134" s="318"/>
      <c r="O134" s="318"/>
    </row>
    <row r="135" spans="1:15" s="319" customFormat="1" ht="15">
      <c r="A135" s="314"/>
      <c r="B135" s="315"/>
      <c r="C135" s="315"/>
      <c r="D135" s="315"/>
      <c r="E135" s="315"/>
      <c r="F135" s="315"/>
      <c r="G135" s="315"/>
      <c r="H135" s="315"/>
      <c r="I135" s="315"/>
      <c r="J135" s="318"/>
      <c r="K135" s="318"/>
      <c r="L135" s="318"/>
      <c r="M135" s="318"/>
      <c r="N135" s="318"/>
      <c r="O135" s="318"/>
    </row>
    <row r="136" spans="1:15" s="319" customFormat="1" ht="15">
      <c r="A136" s="314"/>
      <c r="B136" s="315"/>
      <c r="C136" s="315"/>
      <c r="D136" s="315"/>
      <c r="E136" s="315"/>
      <c r="F136" s="315"/>
      <c r="G136" s="315"/>
      <c r="H136" s="315"/>
      <c r="I136" s="315"/>
      <c r="J136" s="318"/>
      <c r="K136" s="318"/>
      <c r="L136" s="318"/>
      <c r="M136" s="318"/>
      <c r="N136" s="318"/>
      <c r="O136" s="318"/>
    </row>
    <row r="137" spans="1:15" s="319" customFormat="1" ht="15">
      <c r="A137" s="314"/>
      <c r="B137" s="315"/>
      <c r="C137" s="315"/>
      <c r="D137" s="315"/>
      <c r="E137" s="315"/>
      <c r="F137" s="315"/>
      <c r="G137" s="315"/>
      <c r="H137" s="315"/>
      <c r="I137" s="315"/>
      <c r="J137" s="318"/>
      <c r="K137" s="318"/>
      <c r="L137" s="318"/>
      <c r="M137" s="318"/>
      <c r="N137" s="318"/>
      <c r="O137" s="318"/>
    </row>
    <row r="138" spans="1:15" s="319" customFormat="1" ht="15">
      <c r="A138" s="314"/>
      <c r="B138" s="315"/>
      <c r="C138" s="315"/>
      <c r="D138" s="315"/>
      <c r="E138" s="315"/>
      <c r="F138" s="315"/>
      <c r="G138" s="315"/>
      <c r="H138" s="315"/>
      <c r="I138" s="315"/>
      <c r="J138" s="318"/>
      <c r="K138" s="318"/>
      <c r="L138" s="318"/>
      <c r="M138" s="318"/>
      <c r="N138" s="318"/>
      <c r="O138" s="318"/>
    </row>
    <row r="139" spans="1:15" s="319" customFormat="1" ht="15">
      <c r="A139" s="314"/>
      <c r="B139" s="315"/>
      <c r="C139" s="315"/>
      <c r="D139" s="315"/>
      <c r="E139" s="315"/>
      <c r="F139" s="315"/>
      <c r="G139" s="315"/>
      <c r="H139" s="315"/>
      <c r="I139" s="315"/>
      <c r="J139" s="318"/>
      <c r="K139" s="318"/>
      <c r="L139" s="318"/>
      <c r="M139" s="318"/>
      <c r="N139" s="318"/>
      <c r="O139" s="318"/>
    </row>
    <row r="140" spans="1:15" s="319" customFormat="1" ht="15">
      <c r="A140" s="314"/>
      <c r="B140" s="315"/>
      <c r="C140" s="315"/>
      <c r="D140" s="315"/>
      <c r="E140" s="315"/>
      <c r="F140" s="315"/>
      <c r="G140" s="315"/>
      <c r="H140" s="315"/>
      <c r="I140" s="315"/>
      <c r="J140" s="318"/>
      <c r="K140" s="318"/>
      <c r="L140" s="318"/>
      <c r="M140" s="318"/>
      <c r="N140" s="318"/>
      <c r="O140" s="318"/>
    </row>
    <row r="141" spans="1:15" s="319" customFormat="1" ht="15">
      <c r="A141" s="314"/>
      <c r="B141" s="315"/>
      <c r="C141" s="315"/>
      <c r="D141" s="315"/>
      <c r="E141" s="315"/>
      <c r="F141" s="315"/>
      <c r="G141" s="315"/>
      <c r="H141" s="315"/>
      <c r="I141" s="315"/>
      <c r="J141" s="318"/>
      <c r="K141" s="318"/>
      <c r="L141" s="318"/>
      <c r="M141" s="318"/>
      <c r="N141" s="318"/>
      <c r="O141" s="318"/>
    </row>
    <row r="142" spans="1:15" s="319" customFormat="1" ht="15">
      <c r="A142" s="314"/>
      <c r="B142" s="315"/>
      <c r="C142" s="315"/>
      <c r="D142" s="315"/>
      <c r="E142" s="315"/>
      <c r="F142" s="315"/>
      <c r="G142" s="315"/>
      <c r="H142" s="315"/>
      <c r="I142" s="315"/>
      <c r="J142" s="318"/>
      <c r="K142" s="318"/>
      <c r="L142" s="318"/>
      <c r="M142" s="318"/>
      <c r="N142" s="318"/>
      <c r="O142" s="318"/>
    </row>
    <row r="143" spans="1:15" s="319" customFormat="1" ht="15">
      <c r="A143" s="314"/>
      <c r="B143" s="315"/>
      <c r="C143" s="315"/>
      <c r="D143" s="315"/>
      <c r="E143" s="315"/>
      <c r="F143" s="315"/>
      <c r="G143" s="315"/>
      <c r="H143" s="315"/>
      <c r="I143" s="315"/>
      <c r="J143" s="318"/>
      <c r="K143" s="318"/>
      <c r="L143" s="318"/>
      <c r="M143" s="318"/>
      <c r="N143" s="318"/>
      <c r="O143" s="318"/>
    </row>
    <row r="144" spans="1:15" s="319" customFormat="1" ht="15">
      <c r="A144" s="314"/>
      <c r="B144" s="315"/>
      <c r="C144" s="315"/>
      <c r="D144" s="315"/>
      <c r="E144" s="315"/>
      <c r="F144" s="315"/>
      <c r="G144" s="315"/>
      <c r="H144" s="315"/>
      <c r="I144" s="315"/>
      <c r="J144" s="318"/>
      <c r="K144" s="318"/>
      <c r="L144" s="318"/>
      <c r="M144" s="318"/>
      <c r="N144" s="318"/>
      <c r="O144" s="318"/>
    </row>
    <row r="145" spans="1:15" s="319" customFormat="1" ht="15">
      <c r="A145" s="314"/>
      <c r="B145" s="315"/>
      <c r="C145" s="315"/>
      <c r="D145" s="315"/>
      <c r="E145" s="315"/>
      <c r="F145" s="315"/>
      <c r="G145" s="315"/>
      <c r="H145" s="315"/>
      <c r="I145" s="315"/>
      <c r="J145" s="318"/>
      <c r="K145" s="318"/>
      <c r="L145" s="318"/>
      <c r="M145" s="318"/>
      <c r="N145" s="318"/>
      <c r="O145" s="318"/>
    </row>
    <row r="146" spans="1:15" s="319" customFormat="1" ht="15">
      <c r="A146" s="314"/>
      <c r="B146" s="315"/>
      <c r="C146" s="315"/>
      <c r="D146" s="315"/>
      <c r="E146" s="315"/>
      <c r="F146" s="315"/>
      <c r="G146" s="315"/>
      <c r="H146" s="315"/>
      <c r="I146" s="315"/>
      <c r="J146" s="318"/>
      <c r="K146" s="318"/>
      <c r="L146" s="318"/>
      <c r="M146" s="318"/>
      <c r="N146" s="318"/>
      <c r="O146" s="318"/>
    </row>
    <row r="147" spans="1:15" s="319" customFormat="1" ht="15">
      <c r="A147" s="314"/>
      <c r="B147" s="315"/>
      <c r="C147" s="315"/>
      <c r="D147" s="315"/>
      <c r="E147" s="315"/>
      <c r="F147" s="315"/>
      <c r="G147" s="315"/>
      <c r="H147" s="315"/>
      <c r="I147" s="315"/>
      <c r="J147" s="318"/>
      <c r="K147" s="318"/>
      <c r="L147" s="318"/>
      <c r="M147" s="318"/>
      <c r="N147" s="318"/>
      <c r="O147" s="318"/>
    </row>
    <row r="148" spans="1:15" s="319" customFormat="1" ht="15">
      <c r="A148" s="314"/>
      <c r="B148" s="315"/>
      <c r="C148" s="315"/>
      <c r="D148" s="315"/>
      <c r="E148" s="315"/>
      <c r="F148" s="315"/>
      <c r="G148" s="315"/>
      <c r="H148" s="315"/>
      <c r="I148" s="315"/>
      <c r="J148" s="318"/>
      <c r="K148" s="318"/>
      <c r="L148" s="318"/>
      <c r="M148" s="318"/>
      <c r="N148" s="318"/>
      <c r="O148" s="318"/>
    </row>
    <row r="149" spans="1:15" s="319" customFormat="1" ht="15">
      <c r="A149" s="314"/>
      <c r="B149" s="315"/>
      <c r="C149" s="315"/>
      <c r="D149" s="315"/>
      <c r="E149" s="315"/>
      <c r="F149" s="315"/>
      <c r="G149" s="315"/>
      <c r="H149" s="315"/>
      <c r="I149" s="315"/>
      <c r="J149" s="318"/>
      <c r="K149" s="318"/>
      <c r="L149" s="318"/>
      <c r="M149" s="318"/>
      <c r="N149" s="318"/>
      <c r="O149" s="318"/>
    </row>
    <row r="150" spans="1:15" s="319" customFormat="1" ht="15">
      <c r="A150" s="314"/>
      <c r="B150" s="315"/>
      <c r="C150" s="315"/>
      <c r="D150" s="315"/>
      <c r="E150" s="315"/>
      <c r="F150" s="315"/>
      <c r="G150" s="315"/>
      <c r="H150" s="315"/>
      <c r="I150" s="315"/>
      <c r="J150" s="318"/>
      <c r="K150" s="318"/>
      <c r="L150" s="318"/>
      <c r="M150" s="318"/>
      <c r="N150" s="318"/>
      <c r="O150" s="318"/>
    </row>
    <row r="151" spans="1:15" s="319" customFormat="1" ht="15">
      <c r="A151" s="314"/>
      <c r="B151" s="315"/>
      <c r="C151" s="315"/>
      <c r="D151" s="315"/>
      <c r="E151" s="315"/>
      <c r="F151" s="315"/>
      <c r="G151" s="315"/>
      <c r="H151" s="315"/>
      <c r="I151" s="315"/>
      <c r="J151" s="318"/>
      <c r="K151" s="318"/>
      <c r="L151" s="318"/>
      <c r="M151" s="318"/>
      <c r="N151" s="318"/>
      <c r="O151" s="318"/>
    </row>
    <row r="152" spans="1:15" s="319" customFormat="1" ht="15">
      <c r="A152" s="314"/>
      <c r="B152" s="315"/>
      <c r="C152" s="315"/>
      <c r="D152" s="315"/>
      <c r="E152" s="315"/>
      <c r="F152" s="315"/>
      <c r="G152" s="315"/>
      <c r="H152" s="315"/>
      <c r="I152" s="315"/>
      <c r="J152" s="318"/>
      <c r="K152" s="318"/>
      <c r="L152" s="318"/>
      <c r="M152" s="318"/>
      <c r="N152" s="318"/>
      <c r="O152" s="318"/>
    </row>
    <row r="153" spans="1:15" s="319" customFormat="1" ht="15">
      <c r="A153" s="314"/>
      <c r="B153" s="315"/>
      <c r="C153" s="315"/>
      <c r="D153" s="315"/>
      <c r="E153" s="315"/>
      <c r="F153" s="315"/>
      <c r="G153" s="315"/>
      <c r="H153" s="315"/>
      <c r="I153" s="315"/>
      <c r="J153" s="318"/>
      <c r="K153" s="318"/>
      <c r="L153" s="318"/>
      <c r="M153" s="318"/>
      <c r="N153" s="318"/>
      <c r="O153" s="318"/>
    </row>
    <row r="154" spans="1:15" s="319" customFormat="1" ht="15">
      <c r="A154" s="314"/>
      <c r="B154" s="315"/>
      <c r="C154" s="315"/>
      <c r="D154" s="315"/>
      <c r="E154" s="315"/>
      <c r="F154" s="315"/>
      <c r="G154" s="315"/>
      <c r="H154" s="315"/>
      <c r="I154" s="315"/>
      <c r="J154" s="318"/>
      <c r="K154" s="318"/>
      <c r="L154" s="318"/>
      <c r="M154" s="318"/>
      <c r="N154" s="318"/>
      <c r="O154" s="318"/>
    </row>
    <row r="155" spans="1:15" s="319" customFormat="1" ht="15">
      <c r="A155" s="314"/>
      <c r="B155" s="315"/>
      <c r="C155" s="315"/>
      <c r="D155" s="315"/>
      <c r="E155" s="315"/>
      <c r="F155" s="315"/>
      <c r="G155" s="315"/>
      <c r="H155" s="315"/>
      <c r="I155" s="315"/>
      <c r="J155" s="318"/>
      <c r="K155" s="318"/>
      <c r="L155" s="318"/>
      <c r="M155" s="318"/>
      <c r="N155" s="318"/>
      <c r="O155" s="318"/>
    </row>
    <row r="156" spans="1:15" s="319" customFormat="1" ht="15">
      <c r="A156" s="314"/>
      <c r="B156" s="315"/>
      <c r="C156" s="315"/>
      <c r="D156" s="315"/>
      <c r="E156" s="315"/>
      <c r="F156" s="315"/>
      <c r="G156" s="315"/>
      <c r="H156" s="315"/>
      <c r="I156" s="315"/>
      <c r="J156" s="318"/>
      <c r="K156" s="318"/>
      <c r="L156" s="318"/>
      <c r="M156" s="318"/>
      <c r="N156" s="318"/>
      <c r="O156" s="318"/>
    </row>
    <row r="157" spans="1:15" s="319" customFormat="1" ht="15">
      <c r="A157" s="314"/>
      <c r="B157" s="315"/>
      <c r="C157" s="315"/>
      <c r="D157" s="315"/>
      <c r="E157" s="315"/>
      <c r="F157" s="315"/>
      <c r="G157" s="315"/>
      <c r="H157" s="315"/>
      <c r="I157" s="315"/>
      <c r="J157" s="318"/>
      <c r="K157" s="318"/>
      <c r="L157" s="318"/>
      <c r="M157" s="318"/>
      <c r="N157" s="318"/>
      <c r="O157" s="318"/>
    </row>
    <row r="158" spans="1:15" s="319" customFormat="1" ht="15">
      <c r="A158" s="314"/>
      <c r="B158" s="315"/>
      <c r="C158" s="315"/>
      <c r="D158" s="315"/>
      <c r="E158" s="315"/>
      <c r="F158" s="315"/>
      <c r="G158" s="315"/>
      <c r="H158" s="315"/>
      <c r="I158" s="315"/>
      <c r="J158" s="318"/>
      <c r="K158" s="318"/>
      <c r="L158" s="318"/>
      <c r="M158" s="318"/>
      <c r="N158" s="318"/>
      <c r="O158" s="318"/>
    </row>
    <row r="159" spans="1:15" s="319" customFormat="1" ht="15">
      <c r="A159" s="314"/>
      <c r="B159" s="315"/>
      <c r="C159" s="315"/>
      <c r="D159" s="315"/>
      <c r="E159" s="315"/>
      <c r="F159" s="315"/>
      <c r="G159" s="315"/>
      <c r="H159" s="315"/>
      <c r="I159" s="315"/>
      <c r="J159" s="318"/>
      <c r="K159" s="318"/>
      <c r="L159" s="318"/>
      <c r="M159" s="318"/>
      <c r="N159" s="318"/>
      <c r="O159" s="318"/>
    </row>
    <row r="160" spans="1:15" s="319" customFormat="1" ht="15">
      <c r="A160" s="314"/>
      <c r="B160" s="315"/>
      <c r="C160" s="315"/>
      <c r="D160" s="315"/>
      <c r="E160" s="315"/>
      <c r="F160" s="315"/>
      <c r="G160" s="315"/>
      <c r="H160" s="315"/>
      <c r="I160" s="315"/>
      <c r="J160" s="318"/>
      <c r="K160" s="318"/>
      <c r="L160" s="318"/>
      <c r="M160" s="318"/>
      <c r="N160" s="318"/>
      <c r="O160" s="318"/>
    </row>
    <row r="161" spans="1:15" s="319" customFormat="1" ht="15">
      <c r="A161" s="314"/>
      <c r="B161" s="315"/>
      <c r="C161" s="315"/>
      <c r="D161" s="315"/>
      <c r="E161" s="315"/>
      <c r="F161" s="315"/>
      <c r="G161" s="315"/>
      <c r="H161" s="315"/>
      <c r="I161" s="315"/>
      <c r="J161" s="318"/>
      <c r="K161" s="318"/>
      <c r="L161" s="318"/>
      <c r="M161" s="318"/>
      <c r="N161" s="318"/>
      <c r="O161" s="318"/>
    </row>
    <row r="162" spans="1:15" s="319" customFormat="1" ht="15">
      <c r="A162" s="314"/>
      <c r="B162" s="315"/>
      <c r="C162" s="315"/>
      <c r="D162" s="315"/>
      <c r="E162" s="315"/>
      <c r="F162" s="315"/>
      <c r="G162" s="315"/>
      <c r="H162" s="315"/>
      <c r="I162" s="315"/>
      <c r="J162" s="318"/>
      <c r="K162" s="318"/>
      <c r="L162" s="318"/>
      <c r="M162" s="318"/>
      <c r="N162" s="318"/>
      <c r="O162" s="318"/>
    </row>
    <row r="163" spans="1:15" s="319" customFormat="1" ht="15">
      <c r="A163" s="314"/>
      <c r="B163" s="315"/>
      <c r="C163" s="315"/>
      <c r="D163" s="315"/>
      <c r="E163" s="315"/>
      <c r="F163" s="315"/>
      <c r="G163" s="315"/>
      <c r="H163" s="315"/>
      <c r="I163" s="315"/>
      <c r="J163" s="318"/>
      <c r="K163" s="318"/>
      <c r="L163" s="318"/>
      <c r="M163" s="318"/>
      <c r="N163" s="318"/>
      <c r="O163" s="318"/>
    </row>
    <row r="164" spans="1:15" s="319" customFormat="1" ht="15">
      <c r="A164" s="314"/>
      <c r="B164" s="315"/>
      <c r="C164" s="315"/>
      <c r="D164" s="315"/>
      <c r="E164" s="315"/>
      <c r="F164" s="315"/>
      <c r="G164" s="315"/>
      <c r="H164" s="315"/>
      <c r="I164" s="315"/>
      <c r="J164" s="318"/>
      <c r="K164" s="318"/>
      <c r="L164" s="318"/>
      <c r="M164" s="318"/>
      <c r="N164" s="318"/>
      <c r="O164" s="318"/>
    </row>
    <row r="165" spans="1:15" s="319" customFormat="1" ht="15">
      <c r="A165" s="314"/>
      <c r="B165" s="315"/>
      <c r="C165" s="315"/>
      <c r="D165" s="315"/>
      <c r="E165" s="315"/>
      <c r="F165" s="315"/>
      <c r="G165" s="315"/>
      <c r="H165" s="315"/>
      <c r="I165" s="315"/>
      <c r="J165" s="318"/>
      <c r="K165" s="318"/>
      <c r="L165" s="318"/>
      <c r="M165" s="318"/>
      <c r="N165" s="318"/>
      <c r="O165" s="318"/>
    </row>
    <row r="166" spans="1:15" s="319" customFormat="1" ht="15">
      <c r="A166" s="314"/>
      <c r="B166" s="315"/>
      <c r="C166" s="315"/>
      <c r="D166" s="315"/>
      <c r="E166" s="315"/>
      <c r="F166" s="315"/>
      <c r="G166" s="315"/>
      <c r="H166" s="315"/>
      <c r="I166" s="315"/>
      <c r="J166" s="318"/>
      <c r="K166" s="318"/>
      <c r="L166" s="318"/>
      <c r="M166" s="318"/>
      <c r="N166" s="318"/>
      <c r="O166" s="318"/>
    </row>
    <row r="167" spans="1:15" s="319" customFormat="1" ht="15">
      <c r="A167" s="314"/>
      <c r="B167" s="315"/>
      <c r="C167" s="315"/>
      <c r="D167" s="315"/>
      <c r="E167" s="315"/>
      <c r="F167" s="315"/>
      <c r="G167" s="315"/>
      <c r="H167" s="315"/>
      <c r="I167" s="315"/>
      <c r="J167" s="318"/>
      <c r="K167" s="318"/>
      <c r="L167" s="318"/>
      <c r="M167" s="318"/>
      <c r="N167" s="318"/>
      <c r="O167" s="318"/>
    </row>
    <row r="168" spans="1:15" s="319" customFormat="1" ht="15">
      <c r="A168" s="314"/>
      <c r="B168" s="315"/>
      <c r="C168" s="315"/>
      <c r="D168" s="315"/>
      <c r="E168" s="315"/>
      <c r="F168" s="315"/>
      <c r="G168" s="315"/>
      <c r="H168" s="315"/>
      <c r="I168" s="315"/>
      <c r="J168" s="318"/>
      <c r="K168" s="318"/>
      <c r="L168" s="318"/>
      <c r="M168" s="318"/>
      <c r="N168" s="318"/>
      <c r="O168" s="318"/>
    </row>
    <row r="169" spans="1:15" s="319" customFormat="1" ht="15">
      <c r="A169" s="314"/>
      <c r="B169" s="315"/>
      <c r="C169" s="315"/>
      <c r="D169" s="315"/>
      <c r="E169" s="315"/>
      <c r="F169" s="315"/>
      <c r="G169" s="315"/>
      <c r="H169" s="315"/>
      <c r="I169" s="315"/>
      <c r="J169" s="318"/>
      <c r="K169" s="318"/>
      <c r="L169" s="318"/>
      <c r="M169" s="318"/>
      <c r="N169" s="318"/>
      <c r="O169" s="318"/>
    </row>
    <row r="170" spans="1:15" s="319" customFormat="1" ht="15">
      <c r="A170" s="314"/>
      <c r="B170" s="315"/>
      <c r="C170" s="315"/>
      <c r="D170" s="315"/>
      <c r="E170" s="315"/>
      <c r="F170" s="315"/>
      <c r="G170" s="315"/>
      <c r="H170" s="315"/>
      <c r="I170" s="315"/>
      <c r="J170" s="318"/>
      <c r="K170" s="318"/>
      <c r="L170" s="318"/>
      <c r="M170" s="318"/>
      <c r="N170" s="318"/>
      <c r="O170" s="318"/>
    </row>
    <row r="171" spans="1:15" s="319" customFormat="1" ht="15">
      <c r="A171" s="314"/>
      <c r="B171" s="315"/>
      <c r="C171" s="315"/>
      <c r="D171" s="315"/>
      <c r="E171" s="315"/>
      <c r="F171" s="315"/>
      <c r="G171" s="315"/>
      <c r="H171" s="315"/>
      <c r="I171" s="315"/>
      <c r="J171" s="318"/>
      <c r="K171" s="318"/>
      <c r="L171" s="318"/>
      <c r="M171" s="318"/>
      <c r="N171" s="318"/>
      <c r="O171" s="318"/>
    </row>
    <row r="172" spans="1:15" s="319" customFormat="1" ht="15">
      <c r="A172" s="314"/>
      <c r="B172" s="315"/>
      <c r="C172" s="315"/>
      <c r="D172" s="315"/>
      <c r="E172" s="315"/>
      <c r="F172" s="315"/>
      <c r="G172" s="315"/>
      <c r="H172" s="315"/>
      <c r="I172" s="315"/>
      <c r="J172" s="318"/>
      <c r="K172" s="318"/>
      <c r="L172" s="318"/>
      <c r="M172" s="318"/>
      <c r="N172" s="318"/>
      <c r="O172" s="318"/>
    </row>
    <row r="173" spans="1:15" s="319" customFormat="1" ht="15">
      <c r="A173" s="314"/>
      <c r="B173" s="315"/>
      <c r="C173" s="315"/>
      <c r="D173" s="315"/>
      <c r="E173" s="315"/>
      <c r="F173" s="315"/>
      <c r="G173" s="315"/>
      <c r="H173" s="315"/>
      <c r="I173" s="315"/>
      <c r="J173" s="318"/>
      <c r="K173" s="318"/>
      <c r="L173" s="318"/>
      <c r="M173" s="318"/>
      <c r="N173" s="318"/>
      <c r="O173" s="318"/>
    </row>
    <row r="174" spans="1:15" s="319" customFormat="1" ht="15">
      <c r="A174" s="314"/>
      <c r="B174" s="315"/>
      <c r="C174" s="315"/>
      <c r="D174" s="315"/>
      <c r="E174" s="315"/>
      <c r="F174" s="315"/>
      <c r="G174" s="315"/>
      <c r="H174" s="315"/>
      <c r="I174" s="315"/>
      <c r="J174" s="318"/>
      <c r="K174" s="318"/>
      <c r="L174" s="318"/>
      <c r="M174" s="318"/>
      <c r="N174" s="318"/>
      <c r="O174" s="318"/>
    </row>
    <row r="175" spans="1:15" s="319" customFormat="1" ht="15">
      <c r="A175" s="314"/>
      <c r="B175" s="315"/>
      <c r="C175" s="315"/>
      <c r="D175" s="315"/>
      <c r="E175" s="315"/>
      <c r="F175" s="315"/>
      <c r="G175" s="315"/>
      <c r="H175" s="315"/>
      <c r="I175" s="315"/>
      <c r="J175" s="318"/>
      <c r="K175" s="318"/>
      <c r="L175" s="318"/>
      <c r="M175" s="318"/>
      <c r="N175" s="318"/>
      <c r="O175" s="318"/>
    </row>
    <row r="176" spans="1:15" s="319" customFormat="1" ht="15">
      <c r="A176" s="314"/>
      <c r="B176" s="315"/>
      <c r="C176" s="315"/>
      <c r="D176" s="315"/>
      <c r="E176" s="315"/>
      <c r="F176" s="315"/>
      <c r="G176" s="315"/>
      <c r="H176" s="315"/>
      <c r="I176" s="315"/>
      <c r="J176" s="318"/>
      <c r="K176" s="318"/>
      <c r="L176" s="318"/>
      <c r="M176" s="318"/>
      <c r="N176" s="318"/>
      <c r="O176" s="318"/>
    </row>
    <row r="177" spans="1:15" s="319" customFormat="1" ht="15">
      <c r="A177" s="314"/>
      <c r="B177" s="315"/>
      <c r="C177" s="315"/>
      <c r="D177" s="315"/>
      <c r="E177" s="315"/>
      <c r="F177" s="315"/>
      <c r="G177" s="315"/>
      <c r="H177" s="315"/>
      <c r="I177" s="315"/>
      <c r="J177" s="318"/>
      <c r="K177" s="318"/>
      <c r="L177" s="318"/>
      <c r="M177" s="318"/>
      <c r="N177" s="318"/>
      <c r="O177" s="318"/>
    </row>
    <row r="178" spans="1:15" s="319" customFormat="1" ht="15">
      <c r="A178" s="314"/>
      <c r="B178" s="315"/>
      <c r="C178" s="315"/>
      <c r="D178" s="315"/>
      <c r="E178" s="315"/>
      <c r="F178" s="315"/>
      <c r="G178" s="315"/>
      <c r="H178" s="315"/>
      <c r="I178" s="315"/>
      <c r="J178" s="318"/>
      <c r="K178" s="318"/>
      <c r="L178" s="318"/>
      <c r="M178" s="318"/>
      <c r="N178" s="318"/>
      <c r="O178" s="318"/>
    </row>
    <row r="179" spans="1:15" s="319" customFormat="1" ht="15">
      <c r="A179" s="314"/>
      <c r="B179" s="315"/>
      <c r="C179" s="315"/>
      <c r="D179" s="315"/>
      <c r="E179" s="315"/>
      <c r="F179" s="315"/>
      <c r="G179" s="315"/>
      <c r="H179" s="315"/>
      <c r="I179" s="315"/>
      <c r="J179" s="318"/>
      <c r="K179" s="318"/>
      <c r="L179" s="318"/>
      <c r="M179" s="318"/>
      <c r="N179" s="318"/>
      <c r="O179" s="318"/>
    </row>
    <row r="180" spans="1:15" s="319" customFormat="1" ht="15">
      <c r="A180" s="314"/>
      <c r="B180" s="315"/>
      <c r="C180" s="315"/>
      <c r="D180" s="315"/>
      <c r="E180" s="315"/>
      <c r="F180" s="315"/>
      <c r="G180" s="315"/>
      <c r="H180" s="315"/>
      <c r="I180" s="315"/>
      <c r="J180" s="318"/>
      <c r="K180" s="318"/>
      <c r="L180" s="318"/>
      <c r="M180" s="318"/>
      <c r="N180" s="318"/>
      <c r="O180" s="318"/>
    </row>
    <row r="181" spans="1:15" s="319" customFormat="1" ht="15">
      <c r="A181" s="314"/>
      <c r="B181" s="315"/>
      <c r="C181" s="315"/>
      <c r="D181" s="315"/>
      <c r="E181" s="315"/>
      <c r="F181" s="315"/>
      <c r="G181" s="315"/>
      <c r="H181" s="315"/>
      <c r="I181" s="315"/>
      <c r="J181" s="318"/>
      <c r="K181" s="318"/>
      <c r="L181" s="318"/>
      <c r="M181" s="318"/>
      <c r="N181" s="318"/>
      <c r="O181" s="318"/>
    </row>
    <row r="182" spans="1:15" s="319" customFormat="1" ht="15">
      <c r="A182" s="314"/>
      <c r="B182" s="315"/>
      <c r="C182" s="315"/>
      <c r="D182" s="315"/>
      <c r="E182" s="315"/>
      <c r="F182" s="315"/>
      <c r="G182" s="315"/>
      <c r="H182" s="315"/>
      <c r="I182" s="315"/>
      <c r="J182" s="318"/>
      <c r="K182" s="318"/>
      <c r="L182" s="318"/>
      <c r="M182" s="318"/>
      <c r="N182" s="318"/>
      <c r="O182" s="318"/>
    </row>
    <row r="183" spans="1:15" s="319" customFormat="1" ht="15">
      <c r="A183" s="314"/>
      <c r="B183" s="315"/>
      <c r="C183" s="315"/>
      <c r="D183" s="315"/>
      <c r="E183" s="315"/>
      <c r="F183" s="315"/>
      <c r="G183" s="315"/>
      <c r="H183" s="315"/>
      <c r="I183" s="315"/>
      <c r="J183" s="318"/>
      <c r="K183" s="318"/>
      <c r="L183" s="318"/>
      <c r="M183" s="318"/>
      <c r="N183" s="318"/>
      <c r="O183" s="318"/>
    </row>
    <row r="184" spans="1:9" s="319" customFormat="1" ht="15">
      <c r="A184" s="104"/>
      <c r="B184" s="322"/>
      <c r="C184" s="322"/>
      <c r="D184" s="322"/>
      <c r="E184" s="322"/>
      <c r="F184" s="322"/>
      <c r="G184" s="322"/>
      <c r="H184" s="322"/>
      <c r="I184" s="322"/>
    </row>
    <row r="185" spans="1:9" s="319" customFormat="1" ht="15">
      <c r="A185" s="104"/>
      <c r="B185" s="322"/>
      <c r="C185" s="322"/>
      <c r="D185" s="322"/>
      <c r="E185" s="322"/>
      <c r="F185" s="322"/>
      <c r="G185" s="322"/>
      <c r="H185" s="322"/>
      <c r="I185" s="322"/>
    </row>
    <row r="186" spans="1:9" s="319" customFormat="1" ht="15">
      <c r="A186" s="104"/>
      <c r="B186" s="322"/>
      <c r="C186" s="322"/>
      <c r="D186" s="322"/>
      <c r="E186" s="322"/>
      <c r="F186" s="322"/>
      <c r="G186" s="322"/>
      <c r="H186" s="322"/>
      <c r="I186" s="322"/>
    </row>
    <row r="187" spans="1:9" s="319" customFormat="1" ht="15">
      <c r="A187" s="104"/>
      <c r="B187" s="322"/>
      <c r="C187" s="322"/>
      <c r="D187" s="322"/>
      <c r="E187" s="322"/>
      <c r="F187" s="322"/>
      <c r="G187" s="322"/>
      <c r="H187" s="322"/>
      <c r="I187" s="322"/>
    </row>
    <row r="188" spans="1:9" s="319" customFormat="1" ht="15">
      <c r="A188" s="104"/>
      <c r="B188" s="322"/>
      <c r="C188" s="322"/>
      <c r="D188" s="322"/>
      <c r="E188" s="322"/>
      <c r="F188" s="322"/>
      <c r="G188" s="322"/>
      <c r="H188" s="322"/>
      <c r="I188" s="322"/>
    </row>
    <row r="189" spans="1:9" s="319" customFormat="1" ht="15">
      <c r="A189" s="104"/>
      <c r="B189" s="322"/>
      <c r="C189" s="322"/>
      <c r="D189" s="322"/>
      <c r="E189" s="322"/>
      <c r="F189" s="322"/>
      <c r="G189" s="322"/>
      <c r="H189" s="322"/>
      <c r="I189" s="322"/>
    </row>
    <row r="190" spans="1:9" s="319" customFormat="1" ht="15">
      <c r="A190" s="104"/>
      <c r="B190" s="322"/>
      <c r="C190" s="322"/>
      <c r="D190" s="322"/>
      <c r="E190" s="322"/>
      <c r="F190" s="322"/>
      <c r="G190" s="322"/>
      <c r="H190" s="322"/>
      <c r="I190" s="322"/>
    </row>
    <row r="191" spans="1:9" s="319" customFormat="1" ht="15">
      <c r="A191" s="104"/>
      <c r="B191" s="322"/>
      <c r="C191" s="322"/>
      <c r="D191" s="322"/>
      <c r="E191" s="322"/>
      <c r="F191" s="322"/>
      <c r="G191" s="322"/>
      <c r="H191" s="322"/>
      <c r="I191" s="322"/>
    </row>
    <row r="192" spans="1:9" s="319" customFormat="1" ht="15">
      <c r="A192" s="104"/>
      <c r="B192" s="322"/>
      <c r="C192" s="322"/>
      <c r="D192" s="322"/>
      <c r="E192" s="322"/>
      <c r="F192" s="322"/>
      <c r="G192" s="322"/>
      <c r="H192" s="322"/>
      <c r="I192" s="322"/>
    </row>
    <row r="193" spans="1:9" s="319" customFormat="1" ht="15">
      <c r="A193" s="104"/>
      <c r="B193" s="322"/>
      <c r="C193" s="322"/>
      <c r="D193" s="322"/>
      <c r="E193" s="322"/>
      <c r="F193" s="322"/>
      <c r="G193" s="322"/>
      <c r="H193" s="322"/>
      <c r="I193" s="322"/>
    </row>
    <row r="194" spans="1:9" s="319" customFormat="1" ht="15">
      <c r="A194" s="104"/>
      <c r="B194" s="322"/>
      <c r="C194" s="322"/>
      <c r="D194" s="322"/>
      <c r="E194" s="322"/>
      <c r="F194" s="322"/>
      <c r="G194" s="322"/>
      <c r="H194" s="322"/>
      <c r="I194" s="322"/>
    </row>
    <row r="195" spans="1:9" s="319" customFormat="1" ht="15">
      <c r="A195" s="104"/>
      <c r="B195" s="322"/>
      <c r="C195" s="322"/>
      <c r="D195" s="322"/>
      <c r="E195" s="322"/>
      <c r="F195" s="322"/>
      <c r="G195" s="322"/>
      <c r="H195" s="322"/>
      <c r="I195" s="322"/>
    </row>
    <row r="196" spans="1:9" s="319" customFormat="1" ht="15">
      <c r="A196" s="104"/>
      <c r="B196" s="322"/>
      <c r="C196" s="322"/>
      <c r="D196" s="322"/>
      <c r="E196" s="322"/>
      <c r="F196" s="322"/>
      <c r="G196" s="322"/>
      <c r="H196" s="322"/>
      <c r="I196" s="322"/>
    </row>
    <row r="197" s="319" customFormat="1" ht="15">
      <c r="A197" s="82"/>
    </row>
    <row r="198" s="319" customFormat="1" ht="15">
      <c r="A198" s="82"/>
    </row>
    <row r="199" s="319" customFormat="1" ht="15">
      <c r="A199" s="82"/>
    </row>
    <row r="200" s="319" customFormat="1" ht="15">
      <c r="A200" s="82"/>
    </row>
    <row r="201" s="319" customFormat="1" ht="15">
      <c r="A201" s="82"/>
    </row>
    <row r="202" s="319" customFormat="1" ht="15">
      <c r="A202" s="82"/>
    </row>
    <row r="203" s="319" customFormat="1" ht="15">
      <c r="A203" s="82"/>
    </row>
    <row r="204" s="319" customFormat="1" ht="15">
      <c r="A204" s="82"/>
    </row>
    <row r="205" s="319" customFormat="1" ht="15">
      <c r="A205" s="82"/>
    </row>
    <row r="206" s="319" customFormat="1" ht="15">
      <c r="A206" s="82"/>
    </row>
    <row r="207" s="319" customFormat="1" ht="15">
      <c r="A207" s="82"/>
    </row>
    <row r="208" s="319" customFormat="1" ht="15">
      <c r="A208" s="82"/>
    </row>
    <row r="209" s="319" customFormat="1" ht="15">
      <c r="A209" s="82"/>
    </row>
    <row r="210" s="319" customFormat="1" ht="15">
      <c r="A210" s="82"/>
    </row>
    <row r="211" s="319" customFormat="1" ht="15">
      <c r="A211" s="82"/>
    </row>
    <row r="212" s="319" customFormat="1" ht="15">
      <c r="A212" s="82"/>
    </row>
    <row r="213" s="319" customFormat="1" ht="15">
      <c r="A213" s="82"/>
    </row>
    <row r="214" s="319" customFormat="1" ht="15">
      <c r="A214" s="82"/>
    </row>
    <row r="215" s="319" customFormat="1" ht="15">
      <c r="A215" s="82"/>
    </row>
    <row r="216" s="319" customFormat="1" ht="15">
      <c r="A216" s="82"/>
    </row>
    <row r="217" s="319" customFormat="1" ht="15">
      <c r="A217" s="82"/>
    </row>
    <row r="218" s="319" customFormat="1" ht="15">
      <c r="A218" s="82"/>
    </row>
    <row r="219" s="319" customFormat="1" ht="15">
      <c r="A219" s="82"/>
    </row>
    <row r="220" s="319" customFormat="1" ht="15">
      <c r="A220" s="82"/>
    </row>
    <row r="221" s="319" customFormat="1" ht="15">
      <c r="A221" s="82"/>
    </row>
    <row r="222" s="319" customFormat="1" ht="15">
      <c r="A222" s="82"/>
    </row>
    <row r="223" s="319" customFormat="1" ht="15">
      <c r="A223" s="82"/>
    </row>
    <row r="224" s="319" customFormat="1" ht="15">
      <c r="A224" s="82"/>
    </row>
    <row r="225" s="319" customFormat="1" ht="15">
      <c r="A225" s="82"/>
    </row>
    <row r="226" s="319" customFormat="1" ht="15">
      <c r="A226" s="82"/>
    </row>
    <row r="227" s="319" customFormat="1" ht="15">
      <c r="A227" s="82"/>
    </row>
    <row r="228" s="319" customFormat="1" ht="15">
      <c r="A228" s="82"/>
    </row>
    <row r="229" s="319" customFormat="1" ht="15">
      <c r="A229" s="82"/>
    </row>
    <row r="230" s="319" customFormat="1" ht="15">
      <c r="A230" s="82"/>
    </row>
    <row r="231" s="319" customFormat="1" ht="15">
      <c r="A231" s="82"/>
    </row>
    <row r="232" s="319" customFormat="1" ht="15">
      <c r="A232" s="82"/>
    </row>
    <row r="233" s="319" customFormat="1" ht="15">
      <c r="A233" s="82"/>
    </row>
    <row r="234" s="319" customFormat="1" ht="15">
      <c r="A234" s="82"/>
    </row>
    <row r="235" s="319" customFormat="1" ht="15">
      <c r="A235" s="82"/>
    </row>
    <row r="236" s="319" customFormat="1" ht="15">
      <c r="A236" s="82"/>
    </row>
    <row r="237" s="319" customFormat="1" ht="15">
      <c r="A237" s="82"/>
    </row>
    <row r="238" s="319" customFormat="1" ht="15">
      <c r="A238" s="82"/>
    </row>
    <row r="239" s="319" customFormat="1" ht="15">
      <c r="A239" s="82"/>
    </row>
    <row r="240" s="319" customFormat="1" ht="15">
      <c r="A240" s="82"/>
    </row>
    <row r="241" s="319" customFormat="1" ht="15">
      <c r="A241" s="82"/>
    </row>
    <row r="242" s="319" customFormat="1" ht="15">
      <c r="A242" s="82"/>
    </row>
    <row r="243" s="319" customFormat="1" ht="15">
      <c r="A243" s="82"/>
    </row>
    <row r="244" s="319" customFormat="1" ht="15">
      <c r="A244" s="82"/>
    </row>
    <row r="245" s="319" customFormat="1" ht="15">
      <c r="A245" s="82"/>
    </row>
    <row r="246" s="319" customFormat="1" ht="15">
      <c r="A246" s="82"/>
    </row>
    <row r="247" s="319" customFormat="1" ht="15">
      <c r="A247" s="82"/>
    </row>
    <row r="248" s="319" customFormat="1" ht="15">
      <c r="A248" s="82"/>
    </row>
    <row r="249" s="319" customFormat="1" ht="15">
      <c r="A249" s="82"/>
    </row>
    <row r="250" s="319" customFormat="1" ht="15">
      <c r="A250" s="82"/>
    </row>
    <row r="251" s="319" customFormat="1" ht="15">
      <c r="A251" s="82"/>
    </row>
    <row r="252" s="319" customFormat="1" ht="15">
      <c r="A252" s="82"/>
    </row>
    <row r="253" s="319" customFormat="1" ht="15">
      <c r="A253" s="82"/>
    </row>
    <row r="254" s="319" customFormat="1" ht="15">
      <c r="A254" s="82"/>
    </row>
    <row r="255" s="319" customFormat="1" ht="15">
      <c r="A255" s="82"/>
    </row>
    <row r="256" s="319" customFormat="1" ht="15">
      <c r="A256" s="82"/>
    </row>
    <row r="257" spans="2:15" ht="15"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 ht="15"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 ht="15"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 ht="15"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 ht="15"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 ht="15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 ht="15"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 ht="15"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 ht="15"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 ht="15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 ht="15"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 ht="15"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 ht="15"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 ht="15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 ht="15"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 ht="1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 ht="1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 ht="1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 ht="15"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 ht="15"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 ht="15"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 ht="15"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 ht="15"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 ht="15"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 ht="15"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 ht="15"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 ht="15"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 ht="15"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 ht="15"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 ht="15"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 ht="15"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 ht="15"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 ht="15"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 ht="15"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 ht="15"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 ht="15"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 ht="15"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 ht="15"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 ht="15"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 ht="15"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 ht="15"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 ht="15"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 ht="15"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 ht="15"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2:15" ht="15"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2:15" ht="15"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2:15" ht="15"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2:15" ht="15"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2:15" ht="15"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2:15" ht="15"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2:15" ht="15"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2:15" ht="15"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2:15" ht="15"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2:15" ht="15"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2:15" ht="15"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2:15" ht="15"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2:15" ht="15"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2:15" ht="15"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2:15" ht="15"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2:15" ht="15"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2:15" ht="15"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2:15" ht="15"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2:15" ht="15"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2:15" ht="15"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2:15" ht="15"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2:15" ht="15"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2:15" ht="15"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2:15" ht="15"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2:15" ht="15"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2:15" ht="15"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2:15" ht="15"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2:15" ht="15"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2:15" ht="15"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2:15" ht="15"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2:15" ht="15"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2:15" ht="15"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2:15" ht="15"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</sheetData>
  <sheetProtection/>
  <printOptions horizontalCentered="1"/>
  <pageMargins left="0.75" right="0.75" top="1" bottom="0.25" header="0.5" footer="0.5"/>
  <pageSetup blackAndWhite="1"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G135" sqref="G135:G142"/>
    </sheetView>
  </sheetViews>
  <sheetFormatPr defaultColWidth="9.140625" defaultRowHeight="12.75"/>
  <cols>
    <col min="1" max="1" width="37.7109375" style="76" customWidth="1"/>
    <col min="2" max="2" width="16.8515625" style="76" customWidth="1"/>
    <col min="3" max="3" width="13.28125" style="76" customWidth="1"/>
    <col min="4" max="4" width="15.7109375" style="76" customWidth="1"/>
    <col min="5" max="5" width="17.57421875" style="76" customWidth="1"/>
    <col min="6" max="6" width="18.140625" style="76" customWidth="1"/>
    <col min="7" max="7" width="18.421875" style="76" customWidth="1"/>
    <col min="8" max="8" width="10.00390625" style="76" customWidth="1"/>
    <col min="9" max="9" width="10.28125" style="76" customWidth="1"/>
    <col min="10" max="10" width="11.57421875" style="76" customWidth="1"/>
    <col min="11" max="11" width="12.00390625" style="76" customWidth="1"/>
    <col min="12" max="16384" width="9.140625" style="76" customWidth="1"/>
  </cols>
  <sheetData>
    <row r="1" spans="1:11" ht="23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7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7" t="s">
        <v>138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thickBot="1">
      <c r="A4" s="109">
        <f>INPUT!B3</f>
        <v>0</v>
      </c>
      <c r="B4" s="78"/>
      <c r="C4" s="78"/>
      <c r="D4" s="77"/>
      <c r="E4" s="77"/>
      <c r="F4" s="78"/>
      <c r="G4" s="78"/>
      <c r="H4" s="78"/>
      <c r="I4" s="78"/>
      <c r="J4" s="78"/>
      <c r="K4" s="78"/>
    </row>
    <row r="5" spans="1:11" ht="14.25">
      <c r="A5" s="79"/>
      <c r="B5" s="80" t="s">
        <v>21</v>
      </c>
      <c r="C5" s="81" t="s">
        <v>22</v>
      </c>
      <c r="D5" s="81" t="s">
        <v>23</v>
      </c>
      <c r="E5" s="81" t="s">
        <v>22</v>
      </c>
      <c r="F5" s="81" t="s">
        <v>14</v>
      </c>
      <c r="G5" s="81" t="s">
        <v>21</v>
      </c>
      <c r="H5" s="81" t="s">
        <v>117</v>
      </c>
      <c r="I5" s="81" t="s">
        <v>111</v>
      </c>
      <c r="J5" s="81" t="s">
        <v>119</v>
      </c>
      <c r="K5" s="81" t="s">
        <v>24</v>
      </c>
    </row>
    <row r="6" spans="1:11" ht="15.75" thickBot="1">
      <c r="A6" s="82"/>
      <c r="B6" s="83" t="s">
        <v>25</v>
      </c>
      <c r="C6" s="84" t="s">
        <v>25</v>
      </c>
      <c r="D6" s="84" t="s">
        <v>25</v>
      </c>
      <c r="E6" s="84" t="s">
        <v>26</v>
      </c>
      <c r="F6" s="84" t="s">
        <v>26</v>
      </c>
      <c r="G6" s="84" t="s">
        <v>26</v>
      </c>
      <c r="H6" s="84" t="s">
        <v>118</v>
      </c>
      <c r="I6" s="84" t="s">
        <v>112</v>
      </c>
      <c r="J6" s="84" t="s">
        <v>120</v>
      </c>
      <c r="K6" s="84" t="s">
        <v>27</v>
      </c>
    </row>
    <row r="7" spans="1:11" ht="15.75" thickBot="1">
      <c r="A7" s="85" t="s">
        <v>13</v>
      </c>
      <c r="B7" s="224">
        <v>34625576</v>
      </c>
      <c r="C7" s="225">
        <v>1130124</v>
      </c>
      <c r="D7" s="86">
        <f aca="true" t="shared" si="0" ref="D7:D15">(B7-C7)</f>
        <v>33495452</v>
      </c>
      <c r="E7" s="106">
        <f>($B$24*C7)</f>
        <v>0</v>
      </c>
      <c r="F7" s="106">
        <f aca="true" t="shared" si="1" ref="F7:F15">($B$23*D7)/100</f>
        <v>0</v>
      </c>
      <c r="G7" s="106">
        <f aca="true" t="shared" si="2" ref="G7:G15">ROUND((E7+F7),2)</f>
        <v>0</v>
      </c>
      <c r="H7" s="169">
        <f>ROUND(G7/B7,4)</f>
        <v>0</v>
      </c>
      <c r="I7" s="106"/>
      <c r="J7" s="169">
        <f>INPUT!$B$59</f>
        <v>0.0013</v>
      </c>
      <c r="K7" s="165">
        <f>SUM(H7:J7)</f>
        <v>0.0013</v>
      </c>
    </row>
    <row r="8" spans="1:11" ht="15.75" thickBot="1">
      <c r="A8" s="85" t="s">
        <v>28</v>
      </c>
      <c r="B8" s="226">
        <v>24826939</v>
      </c>
      <c r="C8" s="227">
        <v>481051</v>
      </c>
      <c r="D8" s="87">
        <f t="shared" si="0"/>
        <v>24345888</v>
      </c>
      <c r="E8" s="170">
        <f aca="true" t="shared" si="3" ref="E8:E15">($B$24*C8)</f>
        <v>0</v>
      </c>
      <c r="F8" s="170">
        <f t="shared" si="1"/>
        <v>0</v>
      </c>
      <c r="G8" s="170">
        <f t="shared" si="2"/>
        <v>0</v>
      </c>
      <c r="H8" s="171">
        <f aca="true" t="shared" si="4" ref="H8:H18">ROUND(G8/B8,4)</f>
        <v>0</v>
      </c>
      <c r="I8" s="171">
        <f>INPUT!B41</f>
        <v>0.0001</v>
      </c>
      <c r="J8" s="171">
        <f>INPUT!$B$59</f>
        <v>0.0013</v>
      </c>
      <c r="K8" s="166">
        <f aca="true" t="shared" si="5" ref="K8:K18">SUM(H8:J8)</f>
        <v>0.0014</v>
      </c>
    </row>
    <row r="9" spans="1:11" ht="15.75" thickBot="1">
      <c r="A9" s="85" t="s">
        <v>29</v>
      </c>
      <c r="B9" s="226">
        <v>12666975</v>
      </c>
      <c r="C9" s="227">
        <v>117191</v>
      </c>
      <c r="D9" s="87">
        <f t="shared" si="0"/>
        <v>12549784</v>
      </c>
      <c r="E9" s="170">
        <f t="shared" si="3"/>
        <v>0</v>
      </c>
      <c r="F9" s="170">
        <f t="shared" si="1"/>
        <v>0</v>
      </c>
      <c r="G9" s="170">
        <f t="shared" si="2"/>
        <v>0</v>
      </c>
      <c r="H9" s="171">
        <f t="shared" si="4"/>
        <v>0</v>
      </c>
      <c r="I9" s="171">
        <f>INPUT!B42</f>
        <v>0.0001</v>
      </c>
      <c r="J9" s="171">
        <f>INPUT!$B$59</f>
        <v>0.0013</v>
      </c>
      <c r="K9" s="166">
        <f t="shared" si="5"/>
        <v>0.0014</v>
      </c>
    </row>
    <row r="10" spans="1:11" ht="15.75" thickBot="1">
      <c r="A10" s="85" t="s">
        <v>30</v>
      </c>
      <c r="B10" s="226">
        <v>5814120</v>
      </c>
      <c r="C10" s="227">
        <v>5434</v>
      </c>
      <c r="D10" s="87">
        <f t="shared" si="0"/>
        <v>5808686</v>
      </c>
      <c r="E10" s="170">
        <f t="shared" si="3"/>
        <v>0</v>
      </c>
      <c r="F10" s="170">
        <f t="shared" si="1"/>
        <v>0</v>
      </c>
      <c r="G10" s="170">
        <f t="shared" si="2"/>
        <v>0</v>
      </c>
      <c r="H10" s="171">
        <f t="shared" si="4"/>
        <v>0</v>
      </c>
      <c r="I10" s="171">
        <f>INPUT!B43</f>
        <v>0.0001</v>
      </c>
      <c r="J10" s="171">
        <f>INPUT!$B$59</f>
        <v>0.0013</v>
      </c>
      <c r="K10" s="166">
        <f t="shared" si="5"/>
        <v>0.0014</v>
      </c>
    </row>
    <row r="11" spans="1:11" ht="15.75" thickBot="1">
      <c r="A11" s="85" t="s">
        <v>15</v>
      </c>
      <c r="B11" s="226">
        <v>3293246</v>
      </c>
      <c r="C11" s="227">
        <v>107690</v>
      </c>
      <c r="D11" s="87">
        <f t="shared" si="0"/>
        <v>3185556</v>
      </c>
      <c r="E11" s="170">
        <f t="shared" si="3"/>
        <v>0</v>
      </c>
      <c r="F11" s="170">
        <f t="shared" si="1"/>
        <v>0</v>
      </c>
      <c r="G11" s="170">
        <f t="shared" si="2"/>
        <v>0</v>
      </c>
      <c r="H11" s="171">
        <f t="shared" si="4"/>
        <v>0</v>
      </c>
      <c r="I11" s="171">
        <f>INPUT!B44</f>
        <v>0</v>
      </c>
      <c r="J11" s="171">
        <f>INPUT!$B$59</f>
        <v>0.0013</v>
      </c>
      <c r="K11" s="166">
        <f t="shared" si="5"/>
        <v>0.0013</v>
      </c>
    </row>
    <row r="12" spans="1:11" ht="15.75" thickBot="1">
      <c r="A12" s="85" t="s">
        <v>31</v>
      </c>
      <c r="B12" s="226">
        <v>3836843</v>
      </c>
      <c r="C12" s="227">
        <v>38135</v>
      </c>
      <c r="D12" s="87">
        <f t="shared" si="0"/>
        <v>3798708</v>
      </c>
      <c r="E12" s="170">
        <f t="shared" si="3"/>
        <v>0</v>
      </c>
      <c r="F12" s="170">
        <f t="shared" si="1"/>
        <v>0</v>
      </c>
      <c r="G12" s="170">
        <f t="shared" si="2"/>
        <v>0</v>
      </c>
      <c r="H12" s="171">
        <f t="shared" si="4"/>
        <v>0</v>
      </c>
      <c r="I12" s="171">
        <f>INPUT!B45</f>
        <v>0</v>
      </c>
      <c r="J12" s="171">
        <f>INPUT!$B$59</f>
        <v>0.0013</v>
      </c>
      <c r="K12" s="166">
        <f t="shared" si="5"/>
        <v>0.0013</v>
      </c>
    </row>
    <row r="13" spans="1:11" ht="15.75" thickBot="1">
      <c r="A13" s="85" t="s">
        <v>224</v>
      </c>
      <c r="B13" s="226">
        <v>2411538</v>
      </c>
      <c r="C13" s="227">
        <v>2704</v>
      </c>
      <c r="D13" s="87">
        <f t="shared" si="0"/>
        <v>2408834</v>
      </c>
      <c r="E13" s="170">
        <f t="shared" si="3"/>
        <v>0</v>
      </c>
      <c r="F13" s="170">
        <f t="shared" si="1"/>
        <v>0</v>
      </c>
      <c r="G13" s="170">
        <f t="shared" si="2"/>
        <v>0</v>
      </c>
      <c r="H13" s="171">
        <f t="shared" si="4"/>
        <v>0</v>
      </c>
      <c r="I13" s="171">
        <f>INPUT!B46</f>
        <v>0</v>
      </c>
      <c r="J13" s="171">
        <f>INPUT!$B$59</f>
        <v>0.0013</v>
      </c>
      <c r="K13" s="166">
        <f>SUM(H13:J13)</f>
        <v>0.0013</v>
      </c>
    </row>
    <row r="14" spans="1:11" ht="15.75" thickBot="1">
      <c r="A14" s="85" t="s">
        <v>16</v>
      </c>
      <c r="B14" s="226">
        <v>35843</v>
      </c>
      <c r="C14" s="227">
        <v>564</v>
      </c>
      <c r="D14" s="87">
        <f t="shared" si="0"/>
        <v>35279</v>
      </c>
      <c r="E14" s="170">
        <f t="shared" si="3"/>
        <v>0</v>
      </c>
      <c r="F14" s="170">
        <f t="shared" si="1"/>
        <v>0</v>
      </c>
      <c r="G14" s="170">
        <f t="shared" si="2"/>
        <v>0</v>
      </c>
      <c r="H14" s="171">
        <f t="shared" si="4"/>
        <v>0</v>
      </c>
      <c r="I14" s="171">
        <f>INPUT!B47</f>
        <v>0.0326</v>
      </c>
      <c r="J14" s="171">
        <f>INPUT!$B$59</f>
        <v>0.0013</v>
      </c>
      <c r="K14" s="166">
        <f t="shared" si="5"/>
        <v>0.0339</v>
      </c>
    </row>
    <row r="15" spans="1:11" ht="15.75" thickBot="1">
      <c r="A15" s="85" t="s">
        <v>191</v>
      </c>
      <c r="B15" s="226">
        <v>70620</v>
      </c>
      <c r="C15" s="227">
        <v>4854</v>
      </c>
      <c r="D15" s="87">
        <f t="shared" si="0"/>
        <v>65766</v>
      </c>
      <c r="E15" s="170">
        <f t="shared" si="3"/>
        <v>0</v>
      </c>
      <c r="F15" s="170">
        <f t="shared" si="1"/>
        <v>0</v>
      </c>
      <c r="G15" s="170">
        <f t="shared" si="2"/>
        <v>0</v>
      </c>
      <c r="H15" s="171">
        <f t="shared" si="4"/>
        <v>0</v>
      </c>
      <c r="I15" s="171">
        <f>INPUT!B48</f>
        <v>0.2483</v>
      </c>
      <c r="J15" s="171">
        <f>INPUT!$B$59</f>
        <v>0.0013</v>
      </c>
      <c r="K15" s="166">
        <f t="shared" si="5"/>
        <v>0.2496</v>
      </c>
    </row>
    <row r="16" spans="1:11" ht="15.75" thickBot="1">
      <c r="A16" s="85" t="s">
        <v>33</v>
      </c>
      <c r="B16" s="226">
        <v>920376</v>
      </c>
      <c r="C16" s="227">
        <v>93214</v>
      </c>
      <c r="D16" s="87">
        <f>(B16-C16)</f>
        <v>827162</v>
      </c>
      <c r="E16" s="170">
        <f>($C$24*C16)</f>
        <v>0</v>
      </c>
      <c r="F16" s="170">
        <f>($C$23*D16)/100</f>
        <v>0</v>
      </c>
      <c r="G16" s="170">
        <f>ROUND((E16+F16),2)</f>
        <v>0</v>
      </c>
      <c r="H16" s="171">
        <f t="shared" si="4"/>
        <v>0</v>
      </c>
      <c r="I16" s="170"/>
      <c r="J16" s="170"/>
      <c r="K16" s="166">
        <f t="shared" si="5"/>
        <v>0</v>
      </c>
    </row>
    <row r="17" spans="1:11" ht="15.75" thickBot="1">
      <c r="A17" s="85" t="s">
        <v>50</v>
      </c>
      <c r="B17" s="226">
        <v>264746</v>
      </c>
      <c r="C17" s="227">
        <v>49601</v>
      </c>
      <c r="D17" s="87">
        <f>(B17-C17)</f>
        <v>215145</v>
      </c>
      <c r="E17" s="170">
        <f>($C$24*C17)</f>
        <v>0</v>
      </c>
      <c r="F17" s="170">
        <f>($C$23*D17)/100</f>
        <v>0</v>
      </c>
      <c r="G17" s="170">
        <f>ROUND((E17+F17),2)</f>
        <v>0</v>
      </c>
      <c r="H17" s="171">
        <f t="shared" si="4"/>
        <v>0</v>
      </c>
      <c r="I17" s="170"/>
      <c r="J17" s="170"/>
      <c r="K17" s="166">
        <f t="shared" si="5"/>
        <v>0</v>
      </c>
    </row>
    <row r="18" spans="1:11" ht="15.75" thickBot="1">
      <c r="A18" s="85" t="s">
        <v>34</v>
      </c>
      <c r="B18" s="226">
        <v>100000</v>
      </c>
      <c r="C18" s="227">
        <v>30000</v>
      </c>
      <c r="D18" s="87">
        <f>(B18-C18)</f>
        <v>70000</v>
      </c>
      <c r="E18" s="170">
        <f>($C$24*C18)</f>
        <v>0</v>
      </c>
      <c r="F18" s="170">
        <f>($C$23*D18)/100</f>
        <v>0</v>
      </c>
      <c r="G18" s="170">
        <f>ROUND((E18+F18),2)</f>
        <v>0</v>
      </c>
      <c r="H18" s="171">
        <f t="shared" si="4"/>
        <v>0</v>
      </c>
      <c r="I18" s="170"/>
      <c r="J18" s="170"/>
      <c r="K18" s="166">
        <f t="shared" si="5"/>
        <v>0</v>
      </c>
    </row>
    <row r="19" spans="1:11" ht="15.75" thickBot="1">
      <c r="A19" s="85" t="s">
        <v>35</v>
      </c>
      <c r="B19" s="226">
        <v>720985</v>
      </c>
      <c r="C19" s="227">
        <v>276885</v>
      </c>
      <c r="D19" s="87">
        <f>(B19-C19)</f>
        <v>444100</v>
      </c>
      <c r="E19" s="170">
        <f>($C$24*C19)</f>
        <v>0</v>
      </c>
      <c r="F19" s="170">
        <f>($C$23*D19)/100</f>
        <v>0</v>
      </c>
      <c r="G19" s="170">
        <f>ROUND((E19+F19),2)</f>
        <v>0</v>
      </c>
      <c r="H19" s="171">
        <f>ROUND(G19/B19,4)</f>
        <v>0</v>
      </c>
      <c r="I19" s="170"/>
      <c r="J19" s="170"/>
      <c r="K19" s="166">
        <f>SUM(H19:J19)</f>
        <v>0</v>
      </c>
    </row>
    <row r="20" spans="1:11" ht="15.75" thickBot="1">
      <c r="A20" s="85" t="s">
        <v>51</v>
      </c>
      <c r="B20" s="228">
        <v>100000</v>
      </c>
      <c r="C20" s="229">
        <v>18000</v>
      </c>
      <c r="D20" s="167">
        <f>(B20-C20)</f>
        <v>82000</v>
      </c>
      <c r="E20" s="172">
        <f>($C$24*C20)</f>
        <v>0</v>
      </c>
      <c r="F20" s="172">
        <f>($C$23*D20)/100</f>
        <v>0</v>
      </c>
      <c r="G20" s="172">
        <f>ROUND((E20+F20),2)</f>
        <v>0</v>
      </c>
      <c r="H20" s="173">
        <f>ROUND(G20/B20,4)</f>
        <v>0</v>
      </c>
      <c r="I20" s="172"/>
      <c r="J20" s="172"/>
      <c r="K20" s="168">
        <f>SUM(H20:J20)</f>
        <v>0</v>
      </c>
    </row>
    <row r="21" ht="13.5" thickBot="1"/>
    <row r="22" spans="2:3" ht="13.5" thickBot="1">
      <c r="B22" s="159" t="s">
        <v>113</v>
      </c>
      <c r="C22" s="159" t="s">
        <v>114</v>
      </c>
    </row>
    <row r="23" spans="1:3" ht="13.5" thickBot="1">
      <c r="A23" s="160" t="s">
        <v>115</v>
      </c>
      <c r="B23" s="161">
        <f>CL_I_SKIM_RATE</f>
        <v>0</v>
      </c>
      <c r="C23" s="162">
        <f>INPUT!B7</f>
        <v>0</v>
      </c>
    </row>
    <row r="24" spans="1:3" ht="13.5" thickBot="1">
      <c r="A24" s="160" t="s">
        <v>116</v>
      </c>
      <c r="B24" s="163">
        <f>INPUT!B6</f>
        <v>0</v>
      </c>
      <c r="C24" s="164">
        <f>INPUT!B8</f>
        <v>0</v>
      </c>
    </row>
    <row r="30" spans="2:3" ht="15">
      <c r="B30" s="243"/>
      <c r="C30" s="243"/>
    </row>
  </sheetData>
  <sheetProtection/>
  <printOptions horizontalCentered="1"/>
  <pageMargins left="0.25" right="0.25" top="1" bottom="1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G135" sqref="G135:G142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2" t="s">
        <v>19</v>
      </c>
      <c r="B1" s="2"/>
      <c r="C1" s="2"/>
      <c r="D1" s="2"/>
      <c r="E1" s="2"/>
      <c r="F1" s="2"/>
      <c r="G1" s="2"/>
    </row>
    <row r="2" spans="1:7" ht="12.75">
      <c r="A2" s="2" t="s">
        <v>139</v>
      </c>
      <c r="B2" s="2"/>
      <c r="C2" s="2"/>
      <c r="D2" s="2"/>
      <c r="E2" s="2"/>
      <c r="F2" s="2"/>
      <c r="G2" s="2"/>
    </row>
    <row r="3" spans="1:7" ht="13.5" thickBot="1">
      <c r="A3" s="88">
        <f ca="1">NOW()</f>
        <v>45310.61902488426</v>
      </c>
      <c r="B3" s="2"/>
      <c r="C3" s="2"/>
      <c r="D3" s="2"/>
      <c r="E3" s="2"/>
      <c r="F3" s="2"/>
      <c r="G3" s="2"/>
    </row>
    <row r="4" spans="2:7" ht="12.75">
      <c r="B4" s="174" t="s">
        <v>36</v>
      </c>
      <c r="C4" s="174" t="s">
        <v>37</v>
      </c>
      <c r="D4" s="174" t="s">
        <v>38</v>
      </c>
      <c r="E4" s="174" t="s">
        <v>209</v>
      </c>
      <c r="F4" s="174" t="s">
        <v>39</v>
      </c>
      <c r="G4" s="174" t="s">
        <v>21</v>
      </c>
    </row>
    <row r="5" spans="2:7" ht="13.5" thickBot="1">
      <c r="B5" s="175" t="s">
        <v>40</v>
      </c>
      <c r="C5" s="175" t="s">
        <v>26</v>
      </c>
      <c r="D5" s="175" t="s">
        <v>26</v>
      </c>
      <c r="E5" s="175" t="s">
        <v>26</v>
      </c>
      <c r="F5" s="175" t="s">
        <v>26</v>
      </c>
      <c r="G5" s="175" t="s">
        <v>26</v>
      </c>
    </row>
    <row r="6" spans="1:7" ht="13.5" thickBot="1">
      <c r="A6" s="113" t="s">
        <v>13</v>
      </c>
      <c r="B6" s="115"/>
      <c r="C6" s="115"/>
      <c r="D6" s="115"/>
      <c r="E6" s="115"/>
      <c r="F6" s="115"/>
      <c r="G6" s="115"/>
    </row>
    <row r="7" spans="1:7" ht="13.5" thickBot="1">
      <c r="A7" s="143" t="s">
        <v>9</v>
      </c>
      <c r="B7" s="177">
        <v>8.6</v>
      </c>
      <c r="C7" s="178">
        <f>ROUND(B7*RAW!$K$7,4)</f>
        <v>0.0112</v>
      </c>
      <c r="D7" s="179">
        <f>INPUT!$B$13</f>
        <v>0</v>
      </c>
      <c r="E7" s="179">
        <f>E9*4</f>
        <v>0</v>
      </c>
      <c r="F7" s="178">
        <f>+F9*4</f>
        <v>1.3804</v>
      </c>
      <c r="G7" s="180">
        <f>ROUND(SUM(C7:F7),4)</f>
        <v>1.3916</v>
      </c>
    </row>
    <row r="8" spans="1:7" ht="13.5" thickBot="1">
      <c r="A8" s="143" t="s">
        <v>41</v>
      </c>
      <c r="B8" s="176">
        <v>4.3</v>
      </c>
      <c r="C8" s="3">
        <f>ROUND(B8*RAW!$K$7,4)</f>
        <v>0.0056</v>
      </c>
      <c r="D8" s="5">
        <f>INPUT!$B$14</f>
        <v>0</v>
      </c>
      <c r="E8" s="5">
        <f>E9*2</f>
        <v>0</v>
      </c>
      <c r="F8" s="3">
        <f>+F9*2</f>
        <v>0.6902</v>
      </c>
      <c r="G8" s="181">
        <f aca="true" t="shared" si="0" ref="G8:G15">ROUND(SUM(C8:F8),4)</f>
        <v>0.6958</v>
      </c>
    </row>
    <row r="9" spans="1:7" ht="13.5" thickBot="1">
      <c r="A9" s="143" t="s">
        <v>10</v>
      </c>
      <c r="B9" s="176">
        <v>2.15</v>
      </c>
      <c r="C9" s="3">
        <f>ROUND(B9*RAW!$K$7,4)</f>
        <v>0.0028</v>
      </c>
      <c r="D9" s="5">
        <f>INPUT!$B$15</f>
        <v>0</v>
      </c>
      <c r="E9" s="5">
        <f>INPUT!B$36</f>
        <v>0</v>
      </c>
      <c r="F9" s="3">
        <f>INPUT!$B$30</f>
        <v>0.3451</v>
      </c>
      <c r="G9" s="181">
        <f t="shared" si="0"/>
        <v>0.3479</v>
      </c>
    </row>
    <row r="10" spans="1:7" ht="13.5" thickBot="1">
      <c r="A10" s="143" t="s">
        <v>11</v>
      </c>
      <c r="B10" s="176">
        <v>1.075</v>
      </c>
      <c r="C10" s="3">
        <f>ROUND(B10*RAW!$K$7,4)</f>
        <v>0.0014</v>
      </c>
      <c r="D10" s="5">
        <f>INPUT!$B$16</f>
        <v>0</v>
      </c>
      <c r="E10" s="5">
        <f>ROUND(E9/2,4)</f>
        <v>0</v>
      </c>
      <c r="F10" s="3">
        <f>ROUND($F$9/2,4)</f>
        <v>0.1726</v>
      </c>
      <c r="G10" s="181">
        <f t="shared" si="0"/>
        <v>0.174</v>
      </c>
    </row>
    <row r="11" spans="1:7" ht="13.5" thickBot="1">
      <c r="A11" s="143" t="s">
        <v>212</v>
      </c>
      <c r="B11" s="176">
        <f>B12*1.2</f>
        <v>0.80625</v>
      </c>
      <c r="C11" s="3">
        <f>ROUND(B11*RAW!$K$7,4)</f>
        <v>0.001</v>
      </c>
      <c r="D11" s="5">
        <f>INPUT!$B$17</f>
        <v>0.063</v>
      </c>
      <c r="E11" s="5">
        <f>ROUND(E9/32*12,4)</f>
        <v>0</v>
      </c>
      <c r="F11" s="3">
        <f>ROUND($F$9/32*12,4)</f>
        <v>0.1294</v>
      </c>
      <c r="G11" s="181">
        <f t="shared" si="0"/>
        <v>0.1934</v>
      </c>
    </row>
    <row r="12" spans="1:7" ht="13.5" thickBot="1">
      <c r="A12" s="143" t="s">
        <v>42</v>
      </c>
      <c r="B12" s="176">
        <v>0.671875</v>
      </c>
      <c r="C12" s="3">
        <f>ROUND(B12*RAW!$K$7,4)</f>
        <v>0.0009</v>
      </c>
      <c r="D12" s="5">
        <f>INPUT!$B$18</f>
        <v>0.0855</v>
      </c>
      <c r="E12" s="5">
        <f>ROUND(E9/32*10,4)</f>
        <v>0</v>
      </c>
      <c r="F12" s="3">
        <f>ROUND($F$9/32*10,4)</f>
        <v>0.1078</v>
      </c>
      <c r="G12" s="181">
        <f t="shared" si="0"/>
        <v>0.1942</v>
      </c>
    </row>
    <row r="13" spans="1:7" ht="13.5" thickBot="1">
      <c r="A13" s="143" t="s">
        <v>43</v>
      </c>
      <c r="B13" s="176">
        <v>0.5375</v>
      </c>
      <c r="C13" s="3">
        <f>ROUND(B13*RAW!$K$7,4)</f>
        <v>0.0007</v>
      </c>
      <c r="D13" s="5">
        <f>INPUT!$B$19</f>
        <v>0</v>
      </c>
      <c r="E13" s="5">
        <f>ROUND(E9/4,4)</f>
        <v>0</v>
      </c>
      <c r="F13" s="3">
        <f>ROUND($F$9/4,4)</f>
        <v>0.0863</v>
      </c>
      <c r="G13" s="181">
        <f t="shared" si="0"/>
        <v>0.087</v>
      </c>
    </row>
    <row r="14" spans="1:7" ht="13.5" thickBot="1">
      <c r="A14" s="143" t="s">
        <v>44</v>
      </c>
      <c r="B14" s="176">
        <v>0.26875</v>
      </c>
      <c r="C14" s="3">
        <f>ROUND(B14*RAW!$K$7,4)</f>
        <v>0.0003</v>
      </c>
      <c r="D14" s="5">
        <f>INPUT!$B$21</f>
        <v>0.0386</v>
      </c>
      <c r="E14" s="5">
        <f>ROUND(E9/32*4,4)</f>
        <v>0</v>
      </c>
      <c r="F14" s="3">
        <f>ROUND($F$9/8,4)</f>
        <v>0.0431</v>
      </c>
      <c r="G14" s="181">
        <f t="shared" si="0"/>
        <v>0.082</v>
      </c>
    </row>
    <row r="15" spans="1:7" ht="13.5" thickBot="1">
      <c r="A15" s="143" t="s">
        <v>45</v>
      </c>
      <c r="B15" s="182">
        <v>2.15</v>
      </c>
      <c r="C15" s="183">
        <f>ROUND(B15*RAW!$K$7,4)</f>
        <v>0.0028</v>
      </c>
      <c r="D15" s="184">
        <f>INPUT!$B$22</f>
        <v>0.0781</v>
      </c>
      <c r="E15" s="184">
        <f>E9</f>
        <v>0</v>
      </c>
      <c r="F15" s="183">
        <f>ROUND($F$9,4)</f>
        <v>0.3451</v>
      </c>
      <c r="G15" s="185">
        <f t="shared" si="0"/>
        <v>0.426</v>
      </c>
    </row>
    <row r="16" spans="1:7" ht="13.5" thickBot="1">
      <c r="A16" s="113" t="s">
        <v>28</v>
      </c>
      <c r="B16" s="115"/>
      <c r="C16" s="115"/>
      <c r="D16" s="115"/>
      <c r="E16" s="115"/>
      <c r="F16" s="115"/>
      <c r="G16" s="115"/>
    </row>
    <row r="17" spans="1:7" ht="13.5" thickBot="1">
      <c r="A17" s="143" t="s">
        <v>9</v>
      </c>
      <c r="B17" s="177">
        <v>8.62</v>
      </c>
      <c r="C17" s="178">
        <f>ROUND(B17*RAW!$K$8,4)</f>
        <v>0.0121</v>
      </c>
      <c r="D17" s="179">
        <f>INPUT!$B$13</f>
        <v>0</v>
      </c>
      <c r="E17" s="179">
        <f>E19*4</f>
        <v>0</v>
      </c>
      <c r="F17" s="178">
        <f>+F19*4</f>
        <v>1.3804</v>
      </c>
      <c r="G17" s="180">
        <f>ROUND(SUM(C17:F17),4)</f>
        <v>1.3925</v>
      </c>
    </row>
    <row r="18" spans="1:7" ht="13.5" thickBot="1">
      <c r="A18" s="143" t="s">
        <v>41</v>
      </c>
      <c r="B18" s="176">
        <v>4.31</v>
      </c>
      <c r="C18" s="3">
        <f>ROUND(B18*RAW!$K$8,4)</f>
        <v>0.006</v>
      </c>
      <c r="D18" s="5">
        <f>INPUT!$B$14</f>
        <v>0</v>
      </c>
      <c r="E18" s="5">
        <f>E19*2</f>
        <v>0</v>
      </c>
      <c r="F18" s="3">
        <f>+F19*2</f>
        <v>0.6902</v>
      </c>
      <c r="G18" s="181">
        <f aca="true" t="shared" si="1" ref="G18:G25">ROUND(SUM(C18:F18),4)</f>
        <v>0.6962</v>
      </c>
    </row>
    <row r="19" spans="1:7" ht="13.5" thickBot="1">
      <c r="A19" s="143" t="s">
        <v>10</v>
      </c>
      <c r="B19" s="176">
        <v>2.155</v>
      </c>
      <c r="C19" s="3">
        <f>ROUND(B19*RAW!$K$8,4)</f>
        <v>0.003</v>
      </c>
      <c r="D19" s="5">
        <f>INPUT!$B$15</f>
        <v>0</v>
      </c>
      <c r="E19" s="5">
        <f>INPUT!B$36</f>
        <v>0</v>
      </c>
      <c r="F19" s="3">
        <f>INPUT!$B$30</f>
        <v>0.3451</v>
      </c>
      <c r="G19" s="181">
        <f t="shared" si="1"/>
        <v>0.3481</v>
      </c>
    </row>
    <row r="20" spans="1:7" ht="13.5" thickBot="1">
      <c r="A20" s="143" t="s">
        <v>11</v>
      </c>
      <c r="B20" s="176">
        <v>1.0775</v>
      </c>
      <c r="C20" s="3">
        <f>ROUND(B20*RAW!$K$8,4)</f>
        <v>0.0015</v>
      </c>
      <c r="D20" s="5">
        <f>INPUT!$B$16</f>
        <v>0</v>
      </c>
      <c r="E20" s="5">
        <f>ROUND(E19/2,4)</f>
        <v>0</v>
      </c>
      <c r="F20" s="3">
        <f>ROUND($F$9/2,4)</f>
        <v>0.1726</v>
      </c>
      <c r="G20" s="181">
        <f t="shared" si="1"/>
        <v>0.1741</v>
      </c>
    </row>
    <row r="21" spans="1:7" ht="13.5" thickBot="1">
      <c r="A21" s="143" t="s">
        <v>212</v>
      </c>
      <c r="B21" s="176">
        <f>B22*1.2</f>
        <v>0.8081256</v>
      </c>
      <c r="C21" s="3">
        <f>ROUND(B21*RAW!$K$8,4)</f>
        <v>0.0011</v>
      </c>
      <c r="D21" s="5">
        <f>INPUT!$B$17</f>
        <v>0.063</v>
      </c>
      <c r="E21" s="5">
        <f>ROUND(E19/32*12,4)</f>
        <v>0</v>
      </c>
      <c r="F21" s="3">
        <f>ROUND($F$9/32*12,4)</f>
        <v>0.1294</v>
      </c>
      <c r="G21" s="181">
        <f t="shared" si="1"/>
        <v>0.1935</v>
      </c>
    </row>
    <row r="22" spans="1:7" ht="13.5" thickBot="1">
      <c r="A22" s="143" t="s">
        <v>42</v>
      </c>
      <c r="B22" s="176">
        <v>0.673438</v>
      </c>
      <c r="C22" s="3">
        <f>ROUND(B22*RAW!$K$8,4)</f>
        <v>0.0009</v>
      </c>
      <c r="D22" s="5">
        <f>INPUT!$B$18</f>
        <v>0.0855</v>
      </c>
      <c r="E22" s="5">
        <f>ROUND(E19/32*10,4)</f>
        <v>0</v>
      </c>
      <c r="F22" s="3">
        <f>ROUND($F$9/32*10,4)</f>
        <v>0.1078</v>
      </c>
      <c r="G22" s="181">
        <f t="shared" si="1"/>
        <v>0.1942</v>
      </c>
    </row>
    <row r="23" spans="1:7" ht="13.5" thickBot="1">
      <c r="A23" s="143" t="s">
        <v>43</v>
      </c>
      <c r="B23" s="176">
        <v>0.53875</v>
      </c>
      <c r="C23" s="3">
        <f>ROUND(B23*RAW!$K$8,4)</f>
        <v>0.0008</v>
      </c>
      <c r="D23" s="5">
        <f>INPUT!$B$19</f>
        <v>0</v>
      </c>
      <c r="E23" s="5">
        <f>ROUND(E19/4,4)</f>
        <v>0</v>
      </c>
      <c r="F23" s="3">
        <f>ROUND($F$9/4,4)</f>
        <v>0.0863</v>
      </c>
      <c r="G23" s="181">
        <f t="shared" si="1"/>
        <v>0.0871</v>
      </c>
    </row>
    <row r="24" spans="1:7" ht="13.5" thickBot="1">
      <c r="A24" s="143" t="s">
        <v>44</v>
      </c>
      <c r="B24" s="176">
        <v>0.269375</v>
      </c>
      <c r="C24" s="3">
        <f>ROUND(B24*RAW!$K$8,4)</f>
        <v>0.0004</v>
      </c>
      <c r="D24" s="5">
        <f>INPUT!$B$21</f>
        <v>0.0386</v>
      </c>
      <c r="E24" s="5">
        <f>ROUND(E19/32*4,4)</f>
        <v>0</v>
      </c>
      <c r="F24" s="3">
        <f>ROUND($F$9/8,4)</f>
        <v>0.0431</v>
      </c>
      <c r="G24" s="181">
        <f t="shared" si="1"/>
        <v>0.0821</v>
      </c>
    </row>
    <row r="25" spans="1:7" ht="13.5" thickBot="1">
      <c r="A25" s="143" t="s">
        <v>45</v>
      </c>
      <c r="B25" s="182">
        <v>2.155</v>
      </c>
      <c r="C25" s="183">
        <f>ROUND(B25*RAW!$K$8,4)</f>
        <v>0.003</v>
      </c>
      <c r="D25" s="184">
        <f>INPUT!$B$22</f>
        <v>0.0781</v>
      </c>
      <c r="E25" s="184">
        <f>E19</f>
        <v>0</v>
      </c>
      <c r="F25" s="183">
        <f>ROUND($F$9,4)</f>
        <v>0.3451</v>
      </c>
      <c r="G25" s="185">
        <f t="shared" si="1"/>
        <v>0.4262</v>
      </c>
    </row>
    <row r="26" spans="1:7" ht="13.5" thickBot="1">
      <c r="A26" s="113" t="s">
        <v>29</v>
      </c>
      <c r="B26" s="115"/>
      <c r="C26" s="115"/>
      <c r="D26" s="115"/>
      <c r="E26" s="115"/>
      <c r="F26" s="115"/>
      <c r="G26" s="115"/>
    </row>
    <row r="27" spans="1:7" ht="13.5" thickBot="1">
      <c r="A27" s="143" t="s">
        <v>9</v>
      </c>
      <c r="B27" s="177">
        <v>8.62</v>
      </c>
      <c r="C27" s="178">
        <f>ROUND(B27*RAW!$K$9,4)</f>
        <v>0.0121</v>
      </c>
      <c r="D27" s="179">
        <f>INPUT!$B$13</f>
        <v>0</v>
      </c>
      <c r="E27" s="179">
        <f>E29*4</f>
        <v>0</v>
      </c>
      <c r="F27" s="178">
        <f>+F29*4</f>
        <v>1.3804</v>
      </c>
      <c r="G27" s="180">
        <f>ROUND(SUM(C27:F27),4)</f>
        <v>1.3925</v>
      </c>
    </row>
    <row r="28" spans="1:7" ht="13.5" thickBot="1">
      <c r="A28" s="143" t="s">
        <v>41</v>
      </c>
      <c r="B28" s="176">
        <v>4.31</v>
      </c>
      <c r="C28" s="3">
        <f>ROUND(B28*RAW!$K$9,4)</f>
        <v>0.006</v>
      </c>
      <c r="D28" s="5">
        <f>INPUT!$B$14</f>
        <v>0</v>
      </c>
      <c r="E28" s="5">
        <f>E29*2</f>
        <v>0</v>
      </c>
      <c r="F28" s="3">
        <f>+F29*2</f>
        <v>0.6902</v>
      </c>
      <c r="G28" s="181">
        <f aca="true" t="shared" si="2" ref="G28:G35">ROUND(SUM(C28:F28),4)</f>
        <v>0.6962</v>
      </c>
    </row>
    <row r="29" spans="1:7" ht="13.5" thickBot="1">
      <c r="A29" s="143" t="s">
        <v>10</v>
      </c>
      <c r="B29" s="176">
        <v>2.155</v>
      </c>
      <c r="C29" s="3">
        <f>ROUND(B29*RAW!$K$9,4)</f>
        <v>0.003</v>
      </c>
      <c r="D29" s="5">
        <f>INPUT!$B$15</f>
        <v>0</v>
      </c>
      <c r="E29" s="5">
        <f>INPUT!B$36</f>
        <v>0</v>
      </c>
      <c r="F29" s="3">
        <f>INPUT!$B$30</f>
        <v>0.3451</v>
      </c>
      <c r="G29" s="181">
        <f t="shared" si="2"/>
        <v>0.3481</v>
      </c>
    </row>
    <row r="30" spans="1:7" ht="13.5" thickBot="1">
      <c r="A30" s="143" t="s">
        <v>11</v>
      </c>
      <c r="B30" s="176">
        <v>1.0775</v>
      </c>
      <c r="C30" s="3">
        <f>ROUND(B30*RAW!$K$9,4)</f>
        <v>0.0015</v>
      </c>
      <c r="D30" s="5">
        <f>INPUT!$B$16</f>
        <v>0</v>
      </c>
      <c r="E30" s="5">
        <f>ROUND(E29/2,4)</f>
        <v>0</v>
      </c>
      <c r="F30" s="3">
        <f>ROUND($F$9/2,4)</f>
        <v>0.1726</v>
      </c>
      <c r="G30" s="181">
        <f t="shared" si="2"/>
        <v>0.1741</v>
      </c>
    </row>
    <row r="31" spans="1:7" ht="13.5" thickBot="1">
      <c r="A31" s="143" t="s">
        <v>212</v>
      </c>
      <c r="B31" s="176">
        <f>B32*1.2</f>
        <v>0.8081256</v>
      </c>
      <c r="C31" s="3">
        <f>ROUND(B31*RAW!$K$9,4)</f>
        <v>0.0011</v>
      </c>
      <c r="D31" s="5">
        <f>INPUT!$B$17</f>
        <v>0.063</v>
      </c>
      <c r="E31" s="5">
        <f>ROUND(E29/32*12,4)</f>
        <v>0</v>
      </c>
      <c r="F31" s="3">
        <f>ROUND($F$9/32*12,4)</f>
        <v>0.1294</v>
      </c>
      <c r="G31" s="181">
        <f t="shared" si="2"/>
        <v>0.1935</v>
      </c>
    </row>
    <row r="32" spans="1:7" ht="13.5" thickBot="1">
      <c r="A32" s="143" t="s">
        <v>42</v>
      </c>
      <c r="B32" s="176">
        <v>0.673438</v>
      </c>
      <c r="C32" s="3">
        <f>ROUND(B32*RAW!$K$9,4)</f>
        <v>0.0009</v>
      </c>
      <c r="D32" s="5">
        <f>INPUT!$B$18</f>
        <v>0.0855</v>
      </c>
      <c r="E32" s="5">
        <f>ROUND(E29/32*10,4)</f>
        <v>0</v>
      </c>
      <c r="F32" s="3">
        <f>ROUND($F$9/32*10,4)</f>
        <v>0.1078</v>
      </c>
      <c r="G32" s="181">
        <f t="shared" si="2"/>
        <v>0.1942</v>
      </c>
    </row>
    <row r="33" spans="1:7" ht="13.5" thickBot="1">
      <c r="A33" s="143" t="s">
        <v>43</v>
      </c>
      <c r="B33" s="176">
        <v>0.53875</v>
      </c>
      <c r="C33" s="3">
        <f>ROUND(B33*RAW!$K$9,4)</f>
        <v>0.0008</v>
      </c>
      <c r="D33" s="5">
        <f>INPUT!$B$19</f>
        <v>0</v>
      </c>
      <c r="E33" s="5">
        <f>ROUND(E29/4,4)</f>
        <v>0</v>
      </c>
      <c r="F33" s="3">
        <f>ROUND($F$9/4,4)</f>
        <v>0.0863</v>
      </c>
      <c r="G33" s="181">
        <f t="shared" si="2"/>
        <v>0.0871</v>
      </c>
    </row>
    <row r="34" spans="1:7" ht="13.5" thickBot="1">
      <c r="A34" s="143" t="s">
        <v>44</v>
      </c>
      <c r="B34" s="176">
        <v>0.269375</v>
      </c>
      <c r="C34" s="3">
        <f>ROUND(B34*RAW!$K$9,4)</f>
        <v>0.0004</v>
      </c>
      <c r="D34" s="5">
        <f>INPUT!$B$21</f>
        <v>0.0386</v>
      </c>
      <c r="E34" s="5">
        <f>ROUND(E29/32*4,4)</f>
        <v>0</v>
      </c>
      <c r="F34" s="3">
        <f>ROUND($F$9/8,4)</f>
        <v>0.0431</v>
      </c>
      <c r="G34" s="181">
        <f t="shared" si="2"/>
        <v>0.0821</v>
      </c>
    </row>
    <row r="35" spans="1:7" ht="13.5" thickBot="1">
      <c r="A35" s="143" t="s">
        <v>45</v>
      </c>
      <c r="B35" s="182">
        <v>2.155</v>
      </c>
      <c r="C35" s="183">
        <f>ROUND(B35*RAW!$K$9,4)</f>
        <v>0.003</v>
      </c>
      <c r="D35" s="184">
        <f>INPUT!$B$22</f>
        <v>0.0781</v>
      </c>
      <c r="E35" s="184">
        <f>E29</f>
        <v>0</v>
      </c>
      <c r="F35" s="183">
        <f>ROUND($F$9,4)</f>
        <v>0.3451</v>
      </c>
      <c r="G35" s="185">
        <f t="shared" si="2"/>
        <v>0.4262</v>
      </c>
    </row>
    <row r="36" spans="1:7" ht="13.5" thickBot="1">
      <c r="A36" s="113" t="s">
        <v>30</v>
      </c>
      <c r="B36" s="115"/>
      <c r="C36" s="115"/>
      <c r="D36" s="115"/>
      <c r="E36" s="115"/>
      <c r="F36" s="115"/>
      <c r="G36" s="115"/>
    </row>
    <row r="37" spans="1:7" ht="13.5" thickBot="1">
      <c r="A37" s="143" t="s">
        <v>9</v>
      </c>
      <c r="B37" s="177">
        <v>8.63</v>
      </c>
      <c r="C37" s="178">
        <f>ROUND(B37*RAW!$K$10,4)</f>
        <v>0.0121</v>
      </c>
      <c r="D37" s="179">
        <f>INPUT!$B$13</f>
        <v>0</v>
      </c>
      <c r="E37" s="179">
        <f>E39*4</f>
        <v>0</v>
      </c>
      <c r="F37" s="178">
        <f>+F39*4</f>
        <v>1.3804</v>
      </c>
      <c r="G37" s="180">
        <f>ROUND(SUM(C37:F37),4)</f>
        <v>1.3925</v>
      </c>
    </row>
    <row r="38" spans="1:7" ht="13.5" thickBot="1">
      <c r="A38" s="143" t="s">
        <v>41</v>
      </c>
      <c r="B38" s="176">
        <v>4.315</v>
      </c>
      <c r="C38" s="3">
        <f>ROUND(B38*RAW!$K$10,4)</f>
        <v>0.006</v>
      </c>
      <c r="D38" s="5">
        <f>INPUT!$B$14</f>
        <v>0</v>
      </c>
      <c r="E38" s="5">
        <f>E39*2</f>
        <v>0</v>
      </c>
      <c r="F38" s="3">
        <f>+F39*2</f>
        <v>0.6902</v>
      </c>
      <c r="G38" s="181">
        <f aca="true" t="shared" si="3" ref="G38:G45">ROUND(SUM(C38:F38),4)</f>
        <v>0.6962</v>
      </c>
    </row>
    <row r="39" spans="1:7" ht="13.5" thickBot="1">
      <c r="A39" s="143" t="s">
        <v>10</v>
      </c>
      <c r="B39" s="176">
        <v>2.1575</v>
      </c>
      <c r="C39" s="3">
        <f>ROUND(B39*RAW!$K$10,4)</f>
        <v>0.003</v>
      </c>
      <c r="D39" s="5">
        <f>INPUT!$B$15</f>
        <v>0</v>
      </c>
      <c r="E39" s="5">
        <f>INPUT!B$36</f>
        <v>0</v>
      </c>
      <c r="F39" s="3">
        <f>INPUT!$B$30</f>
        <v>0.3451</v>
      </c>
      <c r="G39" s="181">
        <f t="shared" si="3"/>
        <v>0.3481</v>
      </c>
    </row>
    <row r="40" spans="1:7" ht="13.5" thickBot="1">
      <c r="A40" s="143" t="s">
        <v>11</v>
      </c>
      <c r="B40" s="176">
        <v>1.07875</v>
      </c>
      <c r="C40" s="3">
        <f>ROUND(B40*RAW!$K$10,4)</f>
        <v>0.0015</v>
      </c>
      <c r="D40" s="5">
        <f>INPUT!$B$16</f>
        <v>0</v>
      </c>
      <c r="E40" s="5">
        <f>ROUND(E39/2,4)</f>
        <v>0</v>
      </c>
      <c r="F40" s="3">
        <f>ROUND($F$9/2,4)</f>
        <v>0.1726</v>
      </c>
      <c r="G40" s="181">
        <f t="shared" si="3"/>
        <v>0.1741</v>
      </c>
    </row>
    <row r="41" spans="1:7" ht="13.5" thickBot="1">
      <c r="A41" s="143" t="s">
        <v>212</v>
      </c>
      <c r="B41" s="176">
        <f>B42*1.2</f>
        <v>0.8090628</v>
      </c>
      <c r="C41" s="3">
        <f>ROUND(B41*RAW!$K$10,4)</f>
        <v>0.0011</v>
      </c>
      <c r="D41" s="5">
        <f>INPUT!$B$17</f>
        <v>0.063</v>
      </c>
      <c r="E41" s="5">
        <f>ROUND(E39/32*12,4)</f>
        <v>0</v>
      </c>
      <c r="F41" s="3">
        <f>ROUND($F$9/32*12,4)</f>
        <v>0.1294</v>
      </c>
      <c r="G41" s="181">
        <f t="shared" si="3"/>
        <v>0.1935</v>
      </c>
    </row>
    <row r="42" spans="1:7" ht="13.5" thickBot="1">
      <c r="A42" s="143" t="s">
        <v>42</v>
      </c>
      <c r="B42" s="176">
        <v>0.674219</v>
      </c>
      <c r="C42" s="3">
        <f>ROUND(B42*RAW!$K$10,4)</f>
        <v>0.0009</v>
      </c>
      <c r="D42" s="5">
        <f>INPUT!$B$18</f>
        <v>0.0855</v>
      </c>
      <c r="E42" s="5">
        <f>ROUND(E39/32*10,4)</f>
        <v>0</v>
      </c>
      <c r="F42" s="3">
        <f>ROUND($F$9/32*10,4)</f>
        <v>0.1078</v>
      </c>
      <c r="G42" s="181">
        <f t="shared" si="3"/>
        <v>0.1942</v>
      </c>
    </row>
    <row r="43" spans="1:7" ht="13.5" thickBot="1">
      <c r="A43" s="143" t="s">
        <v>43</v>
      </c>
      <c r="B43" s="176">
        <v>0.539375</v>
      </c>
      <c r="C43" s="3">
        <f>ROUND(B43*RAW!$K$10,4)</f>
        <v>0.0008</v>
      </c>
      <c r="D43" s="5">
        <f>INPUT!$B$19</f>
        <v>0</v>
      </c>
      <c r="E43" s="5">
        <f>ROUND(E39/4,4)</f>
        <v>0</v>
      </c>
      <c r="F43" s="3">
        <f>ROUND($F$9/4,4)</f>
        <v>0.0863</v>
      </c>
      <c r="G43" s="181">
        <f t="shared" si="3"/>
        <v>0.0871</v>
      </c>
    </row>
    <row r="44" spans="1:7" ht="13.5" thickBot="1">
      <c r="A44" s="143" t="s">
        <v>44</v>
      </c>
      <c r="B44" s="176">
        <v>0.269688</v>
      </c>
      <c r="C44" s="3">
        <f>ROUND(B44*RAW!$K$10,4)</f>
        <v>0.0004</v>
      </c>
      <c r="D44" s="5">
        <f>INPUT!$B$21</f>
        <v>0.0386</v>
      </c>
      <c r="E44" s="5">
        <f>ROUND(E39/32*4,4)</f>
        <v>0</v>
      </c>
      <c r="F44" s="3">
        <f>ROUND($F$9/8,4)</f>
        <v>0.0431</v>
      </c>
      <c r="G44" s="181">
        <f t="shared" si="3"/>
        <v>0.0821</v>
      </c>
    </row>
    <row r="45" spans="1:7" ht="13.5" thickBot="1">
      <c r="A45" s="143" t="s">
        <v>45</v>
      </c>
      <c r="B45" s="182">
        <v>2.1575</v>
      </c>
      <c r="C45" s="183">
        <f>ROUND(B45*RAW!$K$10,4)</f>
        <v>0.003</v>
      </c>
      <c r="D45" s="184">
        <f>INPUT!$B$22</f>
        <v>0.0781</v>
      </c>
      <c r="E45" s="184">
        <f>E39</f>
        <v>0</v>
      </c>
      <c r="F45" s="183">
        <f>ROUND($F$9,4)</f>
        <v>0.3451</v>
      </c>
      <c r="G45" s="185">
        <f t="shared" si="3"/>
        <v>0.4262</v>
      </c>
    </row>
    <row r="46" spans="1:7" ht="13.5" thickBot="1">
      <c r="A46" s="113" t="s">
        <v>15</v>
      </c>
      <c r="B46" s="115"/>
      <c r="C46" s="115"/>
      <c r="D46" s="115"/>
      <c r="E46" s="115"/>
      <c r="F46" s="115"/>
      <c r="G46" s="115"/>
    </row>
    <row r="47" spans="1:7" ht="13.5" thickBot="1">
      <c r="A47" s="143" t="s">
        <v>9</v>
      </c>
      <c r="B47" s="177">
        <v>8</v>
      </c>
      <c r="C47" s="178">
        <f>ROUND(B47*RAW!$K$11,4)</f>
        <v>0.0104</v>
      </c>
      <c r="D47" s="179">
        <f>INPUT!$B$13</f>
        <v>0</v>
      </c>
      <c r="E47" s="179">
        <f>E49*4</f>
        <v>0</v>
      </c>
      <c r="F47" s="178">
        <f>+F49*4</f>
        <v>1.3804</v>
      </c>
      <c r="G47" s="180">
        <f>ROUND(SUM(C47:F47),4)</f>
        <v>1.3908</v>
      </c>
    </row>
    <row r="48" spans="1:7" ht="13.5" thickBot="1">
      <c r="A48" s="143" t="s">
        <v>41</v>
      </c>
      <c r="B48" s="176">
        <v>4</v>
      </c>
      <c r="C48" s="3">
        <f>ROUND(B48*RAW!$K$11,4)</f>
        <v>0.0052</v>
      </c>
      <c r="D48" s="5">
        <f>INPUT!$B$14</f>
        <v>0</v>
      </c>
      <c r="E48" s="5">
        <f>E49*2</f>
        <v>0</v>
      </c>
      <c r="F48" s="3">
        <f>+F49*2</f>
        <v>0.6902</v>
      </c>
      <c r="G48" s="181">
        <f aca="true" t="shared" si="4" ref="G48:G55">ROUND(SUM(C48:F48),4)</f>
        <v>0.6954</v>
      </c>
    </row>
    <row r="49" spans="1:7" ht="13.5" thickBot="1">
      <c r="A49" s="143" t="s">
        <v>10</v>
      </c>
      <c r="B49" s="176">
        <v>2</v>
      </c>
      <c r="C49" s="3">
        <f>ROUND(B49*RAW!$K$11,4)</f>
        <v>0.0026</v>
      </c>
      <c r="D49" s="5">
        <f>INPUT!$B$15</f>
        <v>0</v>
      </c>
      <c r="E49" s="5">
        <f>INPUT!B$36</f>
        <v>0</v>
      </c>
      <c r="F49" s="3">
        <f>INPUT!$B$30</f>
        <v>0.3451</v>
      </c>
      <c r="G49" s="181">
        <f t="shared" si="4"/>
        <v>0.3477</v>
      </c>
    </row>
    <row r="50" spans="1:7" ht="13.5" thickBot="1">
      <c r="A50" s="143" t="s">
        <v>11</v>
      </c>
      <c r="B50" s="176">
        <v>1</v>
      </c>
      <c r="C50" s="3">
        <f>ROUND(B50*RAW!$K$11,4)</f>
        <v>0.0013</v>
      </c>
      <c r="D50" s="5">
        <f>INPUT!$B$16</f>
        <v>0</v>
      </c>
      <c r="E50" s="5">
        <f>ROUND(E49/2,4)</f>
        <v>0</v>
      </c>
      <c r="F50" s="3">
        <f>ROUND($F$9/2,4)</f>
        <v>0.1726</v>
      </c>
      <c r="G50" s="181">
        <f t="shared" si="4"/>
        <v>0.1739</v>
      </c>
    </row>
    <row r="51" spans="1:7" ht="13.5" thickBot="1">
      <c r="A51" s="143" t="s">
        <v>212</v>
      </c>
      <c r="B51" s="176">
        <f>B52*1.2</f>
        <v>0.75</v>
      </c>
      <c r="C51" s="3">
        <f>ROUND(B51*RAW!$K$11,4)</f>
        <v>0.001</v>
      </c>
      <c r="D51" s="5">
        <f>INPUT!$B$17</f>
        <v>0.063</v>
      </c>
      <c r="E51" s="5">
        <f>ROUND(E49/32*12,4)</f>
        <v>0</v>
      </c>
      <c r="F51" s="3">
        <f>ROUND($F$9/32*12,4)</f>
        <v>0.1294</v>
      </c>
      <c r="G51" s="181">
        <f t="shared" si="4"/>
        <v>0.1934</v>
      </c>
    </row>
    <row r="52" spans="1:7" ht="13.5" thickBot="1">
      <c r="A52" s="143" t="s">
        <v>42</v>
      </c>
      <c r="B52" s="176">
        <v>0.625</v>
      </c>
      <c r="C52" s="3">
        <f>ROUND(B52*RAW!$K$11,4)</f>
        <v>0.0008</v>
      </c>
      <c r="D52" s="5">
        <f>INPUT!$B$18</f>
        <v>0.0855</v>
      </c>
      <c r="E52" s="5">
        <f>ROUND(E49/32*10,4)</f>
        <v>0</v>
      </c>
      <c r="F52" s="3">
        <f>ROUND($F$9/32*10,4)</f>
        <v>0.1078</v>
      </c>
      <c r="G52" s="181">
        <f t="shared" si="4"/>
        <v>0.1941</v>
      </c>
    </row>
    <row r="53" spans="1:7" ht="13.5" thickBot="1">
      <c r="A53" s="143" t="s">
        <v>43</v>
      </c>
      <c r="B53" s="176">
        <v>0.5</v>
      </c>
      <c r="C53" s="3">
        <f>ROUND(B53*RAW!$K$11,4)</f>
        <v>0.0007</v>
      </c>
      <c r="D53" s="5">
        <f>INPUT!$B$19</f>
        <v>0</v>
      </c>
      <c r="E53" s="5">
        <f>ROUND(E49/4,4)</f>
        <v>0</v>
      </c>
      <c r="F53" s="3">
        <f>ROUND($F$9/4,4)</f>
        <v>0.0863</v>
      </c>
      <c r="G53" s="181">
        <f t="shared" si="4"/>
        <v>0.087</v>
      </c>
    </row>
    <row r="54" spans="1:7" ht="13.5" thickBot="1">
      <c r="A54" s="143" t="s">
        <v>44</v>
      </c>
      <c r="B54" s="176">
        <v>0.25</v>
      </c>
      <c r="C54" s="3">
        <f>ROUND(B54*RAW!$K$11,4)</f>
        <v>0.0003</v>
      </c>
      <c r="D54" s="5">
        <f>INPUT!$B$21</f>
        <v>0.0386</v>
      </c>
      <c r="E54" s="5">
        <f>ROUND(E49/32*4,4)</f>
        <v>0</v>
      </c>
      <c r="F54" s="3">
        <f>ROUND($F$9/8,4)</f>
        <v>0.0431</v>
      </c>
      <c r="G54" s="181">
        <f t="shared" si="4"/>
        <v>0.082</v>
      </c>
    </row>
    <row r="55" spans="1:7" ht="13.5" thickBot="1">
      <c r="A55" s="143" t="s">
        <v>45</v>
      </c>
      <c r="B55" s="182">
        <v>2</v>
      </c>
      <c r="C55" s="183">
        <f>ROUND(B55*RAW!$K$11,4)</f>
        <v>0.0026</v>
      </c>
      <c r="D55" s="184">
        <f>INPUT!$B$22</f>
        <v>0.0781</v>
      </c>
      <c r="E55" s="184">
        <f>E49</f>
        <v>0</v>
      </c>
      <c r="F55" s="183">
        <f>ROUND($F$9,4)</f>
        <v>0.3451</v>
      </c>
      <c r="G55" s="185">
        <f t="shared" si="4"/>
        <v>0.4258</v>
      </c>
    </row>
    <row r="56" spans="1:7" ht="13.5" thickBot="1">
      <c r="A56" s="113" t="s">
        <v>31</v>
      </c>
      <c r="B56" s="115"/>
      <c r="C56" s="115"/>
      <c r="D56" s="115"/>
      <c r="E56" s="115"/>
      <c r="F56" s="115"/>
      <c r="G56" s="115"/>
    </row>
    <row r="57" spans="1:7" ht="13.5" thickBot="1">
      <c r="A57" s="143" t="s">
        <v>9</v>
      </c>
      <c r="B57" s="177">
        <v>8</v>
      </c>
      <c r="C57" s="178">
        <f>ROUND(B57*RAW!$K$12,4)</f>
        <v>0.0104</v>
      </c>
      <c r="D57" s="179">
        <f>INPUT!$B$13</f>
        <v>0</v>
      </c>
      <c r="E57" s="179">
        <f>E59*4</f>
        <v>0</v>
      </c>
      <c r="F57" s="178">
        <f>+F59*4</f>
        <v>1.3804</v>
      </c>
      <c r="G57" s="180">
        <f>ROUND(SUM(C57:F57),4)</f>
        <v>1.3908</v>
      </c>
    </row>
    <row r="58" spans="1:7" ht="13.5" thickBot="1">
      <c r="A58" s="143" t="s">
        <v>41</v>
      </c>
      <c r="B58" s="176">
        <v>4</v>
      </c>
      <c r="C58" s="3">
        <f>ROUND(B58*RAW!$K$12,4)</f>
        <v>0.0052</v>
      </c>
      <c r="D58" s="5">
        <f>INPUT!$B$14</f>
        <v>0</v>
      </c>
      <c r="E58" s="5">
        <f>E59*2</f>
        <v>0</v>
      </c>
      <c r="F58" s="3">
        <f>+F59*2</f>
        <v>0.6902</v>
      </c>
      <c r="G58" s="181">
        <f aca="true" t="shared" si="5" ref="G58:G65">ROUND(SUM(C58:F58),4)</f>
        <v>0.6954</v>
      </c>
    </row>
    <row r="59" spans="1:7" ht="13.5" thickBot="1">
      <c r="A59" s="143" t="s">
        <v>10</v>
      </c>
      <c r="B59" s="176">
        <v>2</v>
      </c>
      <c r="C59" s="3">
        <f>ROUND(B59*RAW!$K$12,4)</f>
        <v>0.0026</v>
      </c>
      <c r="D59" s="5">
        <f>INPUT!$B$15</f>
        <v>0</v>
      </c>
      <c r="E59" s="5">
        <f>INPUT!B$36</f>
        <v>0</v>
      </c>
      <c r="F59" s="3">
        <f>INPUT!$B$30</f>
        <v>0.3451</v>
      </c>
      <c r="G59" s="181">
        <f t="shared" si="5"/>
        <v>0.3477</v>
      </c>
    </row>
    <row r="60" spans="1:7" ht="13.5" thickBot="1">
      <c r="A60" s="143" t="s">
        <v>11</v>
      </c>
      <c r="B60" s="176">
        <v>1</v>
      </c>
      <c r="C60" s="3">
        <f>ROUND(B60*RAW!$K$12,4)</f>
        <v>0.0013</v>
      </c>
      <c r="D60" s="5">
        <f>INPUT!$B$16</f>
        <v>0</v>
      </c>
      <c r="E60" s="5">
        <f>ROUND(E59/2,4)</f>
        <v>0</v>
      </c>
      <c r="F60" s="3">
        <f>ROUND($F$9/2,4)</f>
        <v>0.1726</v>
      </c>
      <c r="G60" s="181">
        <f t="shared" si="5"/>
        <v>0.1739</v>
      </c>
    </row>
    <row r="61" spans="1:7" ht="13.5" thickBot="1">
      <c r="A61" s="143" t="s">
        <v>212</v>
      </c>
      <c r="B61" s="176">
        <f>B62*1.2</f>
        <v>0.75</v>
      </c>
      <c r="C61" s="3">
        <f>ROUND(B61*RAW!$K$12,4)</f>
        <v>0.001</v>
      </c>
      <c r="D61" s="5">
        <f>INPUT!$B$17</f>
        <v>0.063</v>
      </c>
      <c r="E61" s="5">
        <f>ROUND(E59/32*12,4)</f>
        <v>0</v>
      </c>
      <c r="F61" s="3">
        <f>ROUND($F$9/32*12,4)</f>
        <v>0.1294</v>
      </c>
      <c r="G61" s="181">
        <f t="shared" si="5"/>
        <v>0.1934</v>
      </c>
    </row>
    <row r="62" spans="1:7" ht="13.5" thickBot="1">
      <c r="A62" s="143" t="s">
        <v>42</v>
      </c>
      <c r="B62" s="176">
        <v>0.625</v>
      </c>
      <c r="C62" s="3">
        <f>ROUND(B62*RAW!$K$12,4)</f>
        <v>0.0008</v>
      </c>
      <c r="D62" s="5">
        <f>INPUT!$B$18</f>
        <v>0.0855</v>
      </c>
      <c r="E62" s="5">
        <f>ROUND(E59/32*10,4)</f>
        <v>0</v>
      </c>
      <c r="F62" s="3">
        <f>ROUND($F$9/32*10,4)</f>
        <v>0.1078</v>
      </c>
      <c r="G62" s="181">
        <f t="shared" si="5"/>
        <v>0.1941</v>
      </c>
    </row>
    <row r="63" spans="1:7" ht="13.5" thickBot="1">
      <c r="A63" s="143" t="s">
        <v>43</v>
      </c>
      <c r="B63" s="176">
        <v>0.5</v>
      </c>
      <c r="C63" s="3">
        <f>ROUND(B63*RAW!$K$12,4)</f>
        <v>0.0007</v>
      </c>
      <c r="D63" s="5">
        <f>INPUT!$B$19</f>
        <v>0</v>
      </c>
      <c r="E63" s="5">
        <f>ROUND(E59/4,4)</f>
        <v>0</v>
      </c>
      <c r="F63" s="3">
        <f>ROUND($F$9/4,4)</f>
        <v>0.0863</v>
      </c>
      <c r="G63" s="181">
        <f t="shared" si="5"/>
        <v>0.087</v>
      </c>
    </row>
    <row r="64" spans="1:7" ht="13.5" thickBot="1">
      <c r="A64" s="143" t="s">
        <v>44</v>
      </c>
      <c r="B64" s="176">
        <v>0.25</v>
      </c>
      <c r="C64" s="3">
        <f>ROUND(B64*RAW!$K$12,4)</f>
        <v>0.0003</v>
      </c>
      <c r="D64" s="5">
        <f>INPUT!$B$21</f>
        <v>0.0386</v>
      </c>
      <c r="E64" s="5">
        <f>ROUND(E59/32*4,4)</f>
        <v>0</v>
      </c>
      <c r="F64" s="3">
        <f>ROUND($F$9/8,4)</f>
        <v>0.0431</v>
      </c>
      <c r="G64" s="181">
        <f t="shared" si="5"/>
        <v>0.082</v>
      </c>
    </row>
    <row r="65" spans="1:7" ht="13.5" thickBot="1">
      <c r="A65" s="143" t="s">
        <v>45</v>
      </c>
      <c r="B65" s="182">
        <v>2</v>
      </c>
      <c r="C65" s="183">
        <f>ROUND(B65*RAW!$K$12,4)</f>
        <v>0.0026</v>
      </c>
      <c r="D65" s="184">
        <f>INPUT!$B$22</f>
        <v>0.0781</v>
      </c>
      <c r="E65" s="184">
        <f>E59</f>
        <v>0</v>
      </c>
      <c r="F65" s="183">
        <f>ROUND($F$9,4)</f>
        <v>0.3451</v>
      </c>
      <c r="G65" s="185">
        <f t="shared" si="5"/>
        <v>0.4258</v>
      </c>
    </row>
    <row r="66" spans="1:7" ht="13.5" thickBot="1">
      <c r="A66" s="113" t="s">
        <v>224</v>
      </c>
      <c r="B66" s="115"/>
      <c r="C66" s="115"/>
      <c r="D66" s="115"/>
      <c r="E66" s="115"/>
      <c r="F66" s="115"/>
      <c r="G66" s="115"/>
    </row>
    <row r="67" spans="1:7" ht="13.5" thickBot="1">
      <c r="A67" s="143" t="s">
        <v>9</v>
      </c>
      <c r="B67" s="177">
        <v>8</v>
      </c>
      <c r="C67" s="178">
        <f>ROUND(B67*RAW!$K$13,4)</f>
        <v>0.0104</v>
      </c>
      <c r="D67" s="179">
        <f>INPUT!$B$13</f>
        <v>0</v>
      </c>
      <c r="E67" s="179">
        <f>E69*4</f>
        <v>0</v>
      </c>
      <c r="F67" s="178">
        <f>+F69*4</f>
        <v>1.3804</v>
      </c>
      <c r="G67" s="180">
        <f>ROUND(SUM(C67:F67),4)</f>
        <v>1.3908</v>
      </c>
    </row>
    <row r="68" spans="1:7" ht="13.5" thickBot="1">
      <c r="A68" s="143" t="s">
        <v>41</v>
      </c>
      <c r="B68" s="176">
        <v>4</v>
      </c>
      <c r="C68" s="3">
        <f>ROUND(B68*RAW!$K$13,4)</f>
        <v>0.0052</v>
      </c>
      <c r="D68" s="5">
        <f>INPUT!$B$14</f>
        <v>0</v>
      </c>
      <c r="E68" s="5">
        <f>E69*2</f>
        <v>0</v>
      </c>
      <c r="F68" s="3">
        <f>+F69*2</f>
        <v>0.6902</v>
      </c>
      <c r="G68" s="181">
        <f aca="true" t="shared" si="6" ref="G68:G75">ROUND(SUM(C68:F68),4)</f>
        <v>0.6954</v>
      </c>
    </row>
    <row r="69" spans="1:7" ht="13.5" thickBot="1">
      <c r="A69" s="143" t="s">
        <v>10</v>
      </c>
      <c r="B69" s="176">
        <v>2</v>
      </c>
      <c r="C69" s="3">
        <f>ROUND(B69*RAW!$K$13,4)</f>
        <v>0.0026</v>
      </c>
      <c r="D69" s="5">
        <f>INPUT!$B$15</f>
        <v>0</v>
      </c>
      <c r="E69" s="5">
        <f>INPUT!B$36</f>
        <v>0</v>
      </c>
      <c r="F69" s="3">
        <f>INPUT!$B$30</f>
        <v>0.3451</v>
      </c>
      <c r="G69" s="181">
        <f t="shared" si="6"/>
        <v>0.3477</v>
      </c>
    </row>
    <row r="70" spans="1:7" ht="13.5" thickBot="1">
      <c r="A70" s="143" t="s">
        <v>11</v>
      </c>
      <c r="B70" s="176">
        <v>1</v>
      </c>
      <c r="C70" s="3">
        <f>ROUND(B70*RAW!$K$13,4)</f>
        <v>0.0013</v>
      </c>
      <c r="D70" s="5">
        <f>INPUT!$B$16</f>
        <v>0</v>
      </c>
      <c r="E70" s="5">
        <f>ROUND(E69/2,4)</f>
        <v>0</v>
      </c>
      <c r="F70" s="3">
        <f>ROUND($F$9/2,4)</f>
        <v>0.1726</v>
      </c>
      <c r="G70" s="181">
        <f t="shared" si="6"/>
        <v>0.1739</v>
      </c>
    </row>
    <row r="71" spans="1:7" ht="13.5" thickBot="1">
      <c r="A71" s="143" t="s">
        <v>212</v>
      </c>
      <c r="B71" s="176">
        <f>B72*1.2</f>
        <v>0.75</v>
      </c>
      <c r="C71" s="3">
        <f>ROUND(B71*RAW!$K$13,4)</f>
        <v>0.001</v>
      </c>
      <c r="D71" s="5">
        <f>INPUT!$B$17</f>
        <v>0.063</v>
      </c>
      <c r="E71" s="5">
        <f>ROUND(E69/32*12,4)</f>
        <v>0</v>
      </c>
      <c r="F71" s="3">
        <f>ROUND($F$9/32*12,4)</f>
        <v>0.1294</v>
      </c>
      <c r="G71" s="181">
        <f t="shared" si="6"/>
        <v>0.1934</v>
      </c>
    </row>
    <row r="72" spans="1:7" ht="13.5" thickBot="1">
      <c r="A72" s="143" t="s">
        <v>42</v>
      </c>
      <c r="B72" s="176">
        <v>0.625</v>
      </c>
      <c r="C72" s="3">
        <f>ROUND(B72*RAW!$K$13,4)</f>
        <v>0.0008</v>
      </c>
      <c r="D72" s="5">
        <f>INPUT!$B$18</f>
        <v>0.0855</v>
      </c>
      <c r="E72" s="5">
        <f>ROUND(E69/32*10,4)</f>
        <v>0</v>
      </c>
      <c r="F72" s="3">
        <f>ROUND($F$9/32*10,4)</f>
        <v>0.1078</v>
      </c>
      <c r="G72" s="181">
        <f t="shared" si="6"/>
        <v>0.1941</v>
      </c>
    </row>
    <row r="73" spans="1:7" ht="13.5" thickBot="1">
      <c r="A73" s="143" t="s">
        <v>43</v>
      </c>
      <c r="B73" s="176">
        <v>0.5</v>
      </c>
      <c r="C73" s="3">
        <f>ROUND(B73*RAW!$K$13,4)</f>
        <v>0.0007</v>
      </c>
      <c r="D73" s="5">
        <f>INPUT!$B$19</f>
        <v>0</v>
      </c>
      <c r="E73" s="5">
        <f>ROUND(E69/4,4)</f>
        <v>0</v>
      </c>
      <c r="F73" s="3">
        <f>ROUND($F$9/4,4)</f>
        <v>0.0863</v>
      </c>
      <c r="G73" s="181">
        <f t="shared" si="6"/>
        <v>0.087</v>
      </c>
    </row>
    <row r="74" spans="1:7" ht="13.5" thickBot="1">
      <c r="A74" s="143" t="s">
        <v>44</v>
      </c>
      <c r="B74" s="176">
        <v>0.25</v>
      </c>
      <c r="C74" s="3">
        <f>ROUND(B74*RAW!$K$13,4)</f>
        <v>0.0003</v>
      </c>
      <c r="D74" s="5">
        <f>INPUT!$B$21</f>
        <v>0.0386</v>
      </c>
      <c r="E74" s="5">
        <f>ROUND(E69/32*4,4)</f>
        <v>0</v>
      </c>
      <c r="F74" s="3">
        <f>ROUND($F$9/8,4)</f>
        <v>0.0431</v>
      </c>
      <c r="G74" s="181">
        <f t="shared" si="6"/>
        <v>0.082</v>
      </c>
    </row>
    <row r="75" spans="1:7" ht="13.5" thickBot="1">
      <c r="A75" s="143" t="s">
        <v>45</v>
      </c>
      <c r="B75" s="182">
        <v>2</v>
      </c>
      <c r="C75" s="3">
        <f>ROUND(B75*RAW!$K$13,4)</f>
        <v>0.0026</v>
      </c>
      <c r="D75" s="184">
        <f>INPUT!$B$22</f>
        <v>0.0781</v>
      </c>
      <c r="E75" s="184">
        <f>E69</f>
        <v>0</v>
      </c>
      <c r="F75" s="183">
        <f>ROUND($F$9,4)</f>
        <v>0.3451</v>
      </c>
      <c r="G75" s="185">
        <f t="shared" si="6"/>
        <v>0.4258</v>
      </c>
    </row>
    <row r="76" spans="1:7" ht="13.5" thickBot="1">
      <c r="A76" s="199" t="s">
        <v>16</v>
      </c>
      <c r="B76" s="115"/>
      <c r="C76" s="115"/>
      <c r="D76" s="115"/>
      <c r="E76" s="115"/>
      <c r="F76" s="115"/>
      <c r="G76" s="115"/>
    </row>
    <row r="77" spans="1:7" ht="13.5" thickBot="1">
      <c r="A77" s="143" t="s">
        <v>9</v>
      </c>
      <c r="B77" s="177">
        <v>8.62</v>
      </c>
      <c r="C77" s="178">
        <f>ROUND(B77*RAW!$K$14,4)</f>
        <v>0.2922</v>
      </c>
      <c r="D77" s="179">
        <f>INPUT!$B$13</f>
        <v>0</v>
      </c>
      <c r="E77" s="179">
        <f>E79*4</f>
        <v>0</v>
      </c>
      <c r="F77" s="178">
        <f>+F79*4</f>
        <v>1.3804</v>
      </c>
      <c r="G77" s="180">
        <f>ROUND(SUM(C77:F77),4)</f>
        <v>1.6726</v>
      </c>
    </row>
    <row r="78" spans="1:7" ht="13.5" thickBot="1">
      <c r="A78" s="143" t="s">
        <v>41</v>
      </c>
      <c r="B78" s="176">
        <v>4.31</v>
      </c>
      <c r="C78" s="3">
        <f>ROUND(B78*RAW!$K$14,4)</f>
        <v>0.1461</v>
      </c>
      <c r="D78" s="5">
        <f>INPUT!$B$14</f>
        <v>0</v>
      </c>
      <c r="E78" s="5">
        <f>E79*2</f>
        <v>0</v>
      </c>
      <c r="F78" s="3">
        <f>+F79*2</f>
        <v>0.6902</v>
      </c>
      <c r="G78" s="181">
        <f aca="true" t="shared" si="7" ref="G78:G85">ROUND(SUM(C78:F78),4)</f>
        <v>0.8363</v>
      </c>
    </row>
    <row r="79" spans="1:7" ht="13.5" thickBot="1">
      <c r="A79" s="143" t="s">
        <v>10</v>
      </c>
      <c r="B79" s="176">
        <v>2.155</v>
      </c>
      <c r="C79" s="3">
        <f>ROUND(B79*RAW!$K$14,4)</f>
        <v>0.0731</v>
      </c>
      <c r="D79" s="5">
        <f>INPUT!$B$15</f>
        <v>0</v>
      </c>
      <c r="E79" s="5">
        <f>INPUT!B$36</f>
        <v>0</v>
      </c>
      <c r="F79" s="3">
        <f>INPUT!$B$30</f>
        <v>0.3451</v>
      </c>
      <c r="G79" s="181">
        <f t="shared" si="7"/>
        <v>0.4182</v>
      </c>
    </row>
    <row r="80" spans="1:7" ht="13.5" thickBot="1">
      <c r="A80" s="143" t="s">
        <v>11</v>
      </c>
      <c r="B80" s="176">
        <v>1.0775</v>
      </c>
      <c r="C80" s="3">
        <f>ROUND(B80*RAW!$K$14,4)</f>
        <v>0.0365</v>
      </c>
      <c r="D80" s="5">
        <f>INPUT!$B$16</f>
        <v>0</v>
      </c>
      <c r="E80" s="5">
        <f>ROUND(E79/2,4)</f>
        <v>0</v>
      </c>
      <c r="F80" s="3">
        <f>ROUND($F$9/2,4)</f>
        <v>0.1726</v>
      </c>
      <c r="G80" s="181">
        <f t="shared" si="7"/>
        <v>0.2091</v>
      </c>
    </row>
    <row r="81" spans="1:7" ht="13.5" thickBot="1">
      <c r="A81" s="143" t="s">
        <v>212</v>
      </c>
      <c r="B81" s="176">
        <f>B82*1.2</f>
        <v>0.8081256</v>
      </c>
      <c r="C81" s="3">
        <f>ROUND(B81*RAW!$K$14,4)</f>
        <v>0.0274</v>
      </c>
      <c r="D81" s="5">
        <f>INPUT!$B$17</f>
        <v>0.063</v>
      </c>
      <c r="E81" s="5">
        <f>ROUND(E79/32*12,4)</f>
        <v>0</v>
      </c>
      <c r="F81" s="3">
        <f>ROUND($F$9/32*12,4)</f>
        <v>0.1294</v>
      </c>
      <c r="G81" s="181">
        <f t="shared" si="7"/>
        <v>0.2198</v>
      </c>
    </row>
    <row r="82" spans="1:7" ht="13.5" thickBot="1">
      <c r="A82" s="143" t="s">
        <v>42</v>
      </c>
      <c r="B82" s="176">
        <v>0.673438</v>
      </c>
      <c r="C82" s="3">
        <f>ROUND(B82*RAW!$K$14,4)</f>
        <v>0.0228</v>
      </c>
      <c r="D82" s="5">
        <f>INPUT!$B$18</f>
        <v>0.0855</v>
      </c>
      <c r="E82" s="5">
        <f>ROUND(E79/32*10,4)</f>
        <v>0</v>
      </c>
      <c r="F82" s="3">
        <f>ROUND($F$9/32*10,4)</f>
        <v>0.1078</v>
      </c>
      <c r="G82" s="181">
        <f t="shared" si="7"/>
        <v>0.2161</v>
      </c>
    </row>
    <row r="83" spans="1:7" ht="13.5" thickBot="1">
      <c r="A83" s="143" t="s">
        <v>43</v>
      </c>
      <c r="B83" s="176">
        <v>0.53875</v>
      </c>
      <c r="C83" s="3">
        <f>ROUND(B83*RAW!$K$14,4)</f>
        <v>0.0183</v>
      </c>
      <c r="D83" s="5">
        <f>INPUT!$B$19</f>
        <v>0</v>
      </c>
      <c r="E83" s="5">
        <f>ROUND(E79/4,4)</f>
        <v>0</v>
      </c>
      <c r="F83" s="3">
        <f>ROUND($F$9/4,4)</f>
        <v>0.0863</v>
      </c>
      <c r="G83" s="181">
        <f t="shared" si="7"/>
        <v>0.1046</v>
      </c>
    </row>
    <row r="84" spans="1:7" ht="13.5" thickBot="1">
      <c r="A84" s="143" t="s">
        <v>44</v>
      </c>
      <c r="B84" s="176">
        <v>0.269375</v>
      </c>
      <c r="C84" s="3">
        <f>ROUND(B84*RAW!$K$14,4)</f>
        <v>0.0091</v>
      </c>
      <c r="D84" s="5">
        <f>INPUT!$B$21</f>
        <v>0.0386</v>
      </c>
      <c r="E84" s="5">
        <f>ROUND(E79/32*4,4)</f>
        <v>0</v>
      </c>
      <c r="F84" s="3">
        <f>ROUND($F$9/8,4)</f>
        <v>0.0431</v>
      </c>
      <c r="G84" s="181">
        <f t="shared" si="7"/>
        <v>0.0908</v>
      </c>
    </row>
    <row r="85" spans="1:7" ht="13.5" thickBot="1">
      <c r="A85" s="143" t="s">
        <v>45</v>
      </c>
      <c r="B85" s="182">
        <v>2.155</v>
      </c>
      <c r="C85" s="183">
        <f>ROUND(B85*RAW!$K$14,4)</f>
        <v>0.0731</v>
      </c>
      <c r="D85" s="184">
        <f>INPUT!$B$22</f>
        <v>0.0781</v>
      </c>
      <c r="E85" s="184">
        <f>E79</f>
        <v>0</v>
      </c>
      <c r="F85" s="183">
        <f>ROUND($F$9,4)</f>
        <v>0.3451</v>
      </c>
      <c r="G85" s="185">
        <f t="shared" si="7"/>
        <v>0.4963</v>
      </c>
    </row>
    <row r="86" spans="1:7" ht="13.5" thickBot="1">
      <c r="A86" s="199" t="s">
        <v>192</v>
      </c>
      <c r="B86" s="115"/>
      <c r="C86" s="115"/>
      <c r="D86" s="115"/>
      <c r="E86" s="115"/>
      <c r="F86" s="115"/>
      <c r="G86" s="115"/>
    </row>
    <row r="87" spans="1:7" ht="13.5" thickBot="1">
      <c r="A87" s="143" t="s">
        <v>9</v>
      </c>
      <c r="B87" s="177">
        <f>B88*2</f>
        <v>8</v>
      </c>
      <c r="C87" s="179">
        <f>ROUND(B87*RAW!$K$15,4)</f>
        <v>1.9968</v>
      </c>
      <c r="D87" s="179">
        <f>INPUT!$B$13</f>
        <v>0</v>
      </c>
      <c r="E87" s="179">
        <f>E89*4</f>
        <v>0</v>
      </c>
      <c r="F87" s="178">
        <f>+F89*4</f>
        <v>1.3804</v>
      </c>
      <c r="G87" s="180">
        <f>ROUND(SUM(C87:F87),4)</f>
        <v>3.3772</v>
      </c>
    </row>
    <row r="88" spans="1:7" ht="13.5" thickBot="1">
      <c r="A88" s="143" t="s">
        <v>41</v>
      </c>
      <c r="B88" s="176">
        <f>B89*2</f>
        <v>4</v>
      </c>
      <c r="C88" s="5">
        <f>ROUND(B88*RAW!$K$15,4)</f>
        <v>0.9984</v>
      </c>
      <c r="D88" s="5">
        <f>INPUT!$B$14</f>
        <v>0</v>
      </c>
      <c r="E88" s="5">
        <f>E89*2</f>
        <v>0</v>
      </c>
      <c r="F88" s="3">
        <f>+F89*2</f>
        <v>0.6902</v>
      </c>
      <c r="G88" s="181">
        <f aca="true" t="shared" si="8" ref="G88:G95">ROUND(SUM(C88:F88),4)</f>
        <v>1.6886</v>
      </c>
    </row>
    <row r="89" spans="1:7" ht="13.5" thickBot="1">
      <c r="A89" s="143" t="s">
        <v>10</v>
      </c>
      <c r="B89" s="176">
        <v>2</v>
      </c>
      <c r="C89" s="5">
        <f>ROUND(B89*RAW!$K$15,4)</f>
        <v>0.4992</v>
      </c>
      <c r="D89" s="5">
        <f>INPUT!$B$15</f>
        <v>0</v>
      </c>
      <c r="E89" s="5">
        <f>INPUT!B$36</f>
        <v>0</v>
      </c>
      <c r="F89" s="3">
        <f>INPUT!$B$30</f>
        <v>0.3451</v>
      </c>
      <c r="G89" s="181">
        <f t="shared" si="8"/>
        <v>0.8443</v>
      </c>
    </row>
    <row r="90" spans="1:7" ht="13.5" thickBot="1">
      <c r="A90" s="143" t="s">
        <v>11</v>
      </c>
      <c r="B90" s="176">
        <f>B89*0.5</f>
        <v>1</v>
      </c>
      <c r="C90" s="5">
        <f>ROUND(B90*RAW!$K$15,4)</f>
        <v>0.2496</v>
      </c>
      <c r="D90" s="5">
        <f>INPUT!$B$16</f>
        <v>0</v>
      </c>
      <c r="E90" s="5">
        <f>ROUND(E89/2,4)</f>
        <v>0</v>
      </c>
      <c r="F90" s="3">
        <f>ROUND($F$9/2,4)</f>
        <v>0.1726</v>
      </c>
      <c r="G90" s="181">
        <f t="shared" si="8"/>
        <v>0.4222</v>
      </c>
    </row>
    <row r="91" spans="1:7" ht="13.5" thickBot="1">
      <c r="A91" s="143" t="s">
        <v>212</v>
      </c>
      <c r="B91" s="176">
        <f>B92*1.2</f>
        <v>0.75</v>
      </c>
      <c r="C91" s="5">
        <f>ROUND(B91*RAW!$K$15,4)</f>
        <v>0.1872</v>
      </c>
      <c r="D91" s="5">
        <f>INPUT!$B$17</f>
        <v>0.063</v>
      </c>
      <c r="E91" s="5">
        <f>ROUND(E89/32*12,4)</f>
        <v>0</v>
      </c>
      <c r="F91" s="3">
        <f>ROUND($F$9/32*12,4)</f>
        <v>0.1294</v>
      </c>
      <c r="G91" s="181">
        <f t="shared" si="8"/>
        <v>0.3796</v>
      </c>
    </row>
    <row r="92" spans="1:7" ht="13.5" thickBot="1">
      <c r="A92" s="143" t="s">
        <v>42</v>
      </c>
      <c r="B92" s="176">
        <f>ROUND((B89/32)*10,4)</f>
        <v>0.625</v>
      </c>
      <c r="C92" s="5">
        <f>ROUND(B92*RAW!$K$15,4)</f>
        <v>0.156</v>
      </c>
      <c r="D92" s="5">
        <f>INPUT!$B$18</f>
        <v>0.0855</v>
      </c>
      <c r="E92" s="5">
        <f>ROUND(E89/32*10,4)</f>
        <v>0</v>
      </c>
      <c r="F92" s="3">
        <f>ROUND(($F$9/32)*10,4)</f>
        <v>0.1078</v>
      </c>
      <c r="G92" s="181">
        <f t="shared" si="8"/>
        <v>0.3493</v>
      </c>
    </row>
    <row r="93" spans="1:7" ht="13.5" thickBot="1">
      <c r="A93" s="143" t="s">
        <v>43</v>
      </c>
      <c r="B93" s="176">
        <f>B90*0.5</f>
        <v>0.5</v>
      </c>
      <c r="C93" s="5">
        <f>ROUND(B93*RAW!$K$15,4)</f>
        <v>0.1248</v>
      </c>
      <c r="D93" s="5">
        <f>INPUT!$B$19</f>
        <v>0</v>
      </c>
      <c r="E93" s="5">
        <f>ROUND(E89/4,4)</f>
        <v>0</v>
      </c>
      <c r="F93" s="3">
        <f>ROUND($F$9/4,4)</f>
        <v>0.0863</v>
      </c>
      <c r="G93" s="181">
        <f t="shared" si="8"/>
        <v>0.2111</v>
      </c>
    </row>
    <row r="94" spans="1:7" ht="13.5" thickBot="1">
      <c r="A94" s="143" t="s">
        <v>44</v>
      </c>
      <c r="B94" s="176">
        <f>(B89/32)*4</f>
        <v>0.25</v>
      </c>
      <c r="C94" s="5">
        <f>ROUND(B94*RAW!$K$15,4)</f>
        <v>0.0624</v>
      </c>
      <c r="D94" s="5">
        <f>INPUT!$B$21</f>
        <v>0.0386</v>
      </c>
      <c r="E94" s="5">
        <f>ROUND(E89/32*4,4)</f>
        <v>0</v>
      </c>
      <c r="F94" s="3">
        <f>ROUND($F$9/8,4)</f>
        <v>0.0431</v>
      </c>
      <c r="G94" s="181">
        <f t="shared" si="8"/>
        <v>0.1441</v>
      </c>
    </row>
    <row r="95" spans="1:7" ht="13.5" thickBot="1">
      <c r="A95" s="143" t="s">
        <v>45</v>
      </c>
      <c r="B95" s="182">
        <f>B89</f>
        <v>2</v>
      </c>
      <c r="C95" s="184">
        <f>ROUND(B95*RAW!$K$15,4)</f>
        <v>0.4992</v>
      </c>
      <c r="D95" s="184">
        <f>INPUT!$B$22</f>
        <v>0.0781</v>
      </c>
      <c r="E95" s="184">
        <f>E89</f>
        <v>0</v>
      </c>
      <c r="F95" s="183">
        <f>ROUND($F$9,4)</f>
        <v>0.3451</v>
      </c>
      <c r="G95" s="185">
        <f t="shared" si="8"/>
        <v>0.9224</v>
      </c>
    </row>
    <row r="96" spans="1:2" ht="13.5" thickBot="1">
      <c r="A96" s="113" t="s">
        <v>46</v>
      </c>
      <c r="B96" s="7"/>
    </row>
    <row r="97" spans="1:7" ht="13.5" thickBot="1">
      <c r="A97" s="143" t="s">
        <v>41</v>
      </c>
      <c r="B97" s="177">
        <v>4.275</v>
      </c>
      <c r="C97" s="179">
        <f>ROUND(B97*RAW!$K$16,4)</f>
        <v>0</v>
      </c>
      <c r="D97" s="179">
        <f>INPUT!$B$14</f>
        <v>0</v>
      </c>
      <c r="E97" s="5">
        <f>E98*2</f>
        <v>0</v>
      </c>
      <c r="F97" s="178">
        <f>+F98*2</f>
        <v>0.6902</v>
      </c>
      <c r="G97" s="180">
        <f aca="true" t="shared" si="9" ref="G97:G107">ROUND(SUM(C97:F97),4)</f>
        <v>0.6902</v>
      </c>
    </row>
    <row r="98" spans="1:7" ht="13.5" thickBot="1">
      <c r="A98" s="143" t="s">
        <v>10</v>
      </c>
      <c r="B98" s="176">
        <v>2.1375</v>
      </c>
      <c r="C98" s="5">
        <f>ROUND(B98*RAW!$K$16,4)</f>
        <v>0</v>
      </c>
      <c r="D98" s="5">
        <f>INPUT!$B$15</f>
        <v>0</v>
      </c>
      <c r="E98" s="5">
        <f>INPUT!B$36</f>
        <v>0</v>
      </c>
      <c r="F98" s="3">
        <f>INPUT!$B$30</f>
        <v>0.3451</v>
      </c>
      <c r="G98" s="181">
        <f t="shared" si="9"/>
        <v>0.3451</v>
      </c>
    </row>
    <row r="99" spans="1:7" ht="13.5" thickBot="1">
      <c r="A99" s="143" t="s">
        <v>11</v>
      </c>
      <c r="B99" s="176">
        <v>1.06875</v>
      </c>
      <c r="C99" s="5">
        <f>ROUND(B99*RAW!$K$16,4)</f>
        <v>0</v>
      </c>
      <c r="D99" s="5">
        <f>INPUT!$B$16</f>
        <v>0</v>
      </c>
      <c r="E99" s="5">
        <f>ROUND(E98/2,4)</f>
        <v>0</v>
      </c>
      <c r="F99" s="3">
        <f>ROUND($F$9/2,4)</f>
        <v>0.1726</v>
      </c>
      <c r="G99" s="181">
        <f t="shared" si="9"/>
        <v>0.1726</v>
      </c>
    </row>
    <row r="100" spans="1:7" ht="13.5" thickBot="1">
      <c r="A100" s="143" t="s">
        <v>212</v>
      </c>
      <c r="B100" s="176">
        <f>B101*1.2</f>
        <v>0.8015628</v>
      </c>
      <c r="C100" s="5">
        <f>ROUND(B100*RAW!$K$16,4)</f>
        <v>0</v>
      </c>
      <c r="D100" s="5">
        <f>INPUT!$B$17</f>
        <v>0.063</v>
      </c>
      <c r="E100" s="5">
        <f>ROUND(E98/32*12,4)</f>
        <v>0</v>
      </c>
      <c r="F100" s="3">
        <f>ROUND($F$9/32*12,4)</f>
        <v>0.1294</v>
      </c>
      <c r="G100" s="181">
        <f t="shared" si="9"/>
        <v>0.1924</v>
      </c>
    </row>
    <row r="101" spans="1:7" ht="13.5" thickBot="1">
      <c r="A101" s="143" t="s">
        <v>42</v>
      </c>
      <c r="B101" s="176">
        <v>0.667969</v>
      </c>
      <c r="C101" s="5">
        <f>ROUND(B101*RAW!$K$16,4)</f>
        <v>0</v>
      </c>
      <c r="D101" s="5">
        <f>INPUT!$B$18</f>
        <v>0.0855</v>
      </c>
      <c r="E101" s="5">
        <f>ROUND(E98/32*10,4)</f>
        <v>0</v>
      </c>
      <c r="F101" s="3">
        <f>ROUND($F$9/32*10,4)</f>
        <v>0.1078</v>
      </c>
      <c r="G101" s="181">
        <f t="shared" si="9"/>
        <v>0.1933</v>
      </c>
    </row>
    <row r="102" spans="1:7" ht="13.5" thickBot="1">
      <c r="A102" s="143" t="s">
        <v>43</v>
      </c>
      <c r="B102" s="176">
        <v>0.534375</v>
      </c>
      <c r="C102" s="5">
        <f>ROUND(B102*RAW!$K$16,4)</f>
        <v>0</v>
      </c>
      <c r="D102" s="5">
        <f>INPUT!$B$19</f>
        <v>0</v>
      </c>
      <c r="E102" s="5">
        <f>ROUND(E98/4,4)</f>
        <v>0</v>
      </c>
      <c r="F102" s="3">
        <f>ROUND($F$9/4,4)</f>
        <v>0.0863</v>
      </c>
      <c r="G102" s="181">
        <f t="shared" si="9"/>
        <v>0.0863</v>
      </c>
    </row>
    <row r="103" spans="1:7" ht="13.5" thickBot="1">
      <c r="A103" s="143" t="s">
        <v>44</v>
      </c>
      <c r="B103" s="176">
        <v>0.267188</v>
      </c>
      <c r="C103" s="5">
        <f>ROUND(B103*RAW!$K$16,4)</f>
        <v>0</v>
      </c>
      <c r="D103" s="5">
        <f>INPUT!$B$21</f>
        <v>0.0386</v>
      </c>
      <c r="E103" s="5">
        <f>ROUND(E98/32*4,4)</f>
        <v>0</v>
      </c>
      <c r="F103" s="3">
        <f>ROUND($F$9/8,4)</f>
        <v>0.0431</v>
      </c>
      <c r="G103" s="181">
        <f t="shared" si="9"/>
        <v>0.0817</v>
      </c>
    </row>
    <row r="104" spans="1:7" ht="13.5" thickBot="1">
      <c r="A104" s="143" t="s">
        <v>45</v>
      </c>
      <c r="B104" s="176">
        <v>2.1375</v>
      </c>
      <c r="C104" s="5">
        <f>ROUND(B104*RAW!$K$16,4)</f>
        <v>0</v>
      </c>
      <c r="D104" s="5">
        <f>INPUT!$B$22</f>
        <v>0.0781</v>
      </c>
      <c r="E104" s="5">
        <f>E98</f>
        <v>0</v>
      </c>
      <c r="F104" s="5">
        <f>ROUND($F$9,4)</f>
        <v>0.3451</v>
      </c>
      <c r="G104" s="181">
        <f t="shared" si="9"/>
        <v>0.4232</v>
      </c>
    </row>
    <row r="105" spans="1:7" ht="13.5" thickBot="1">
      <c r="A105" s="143" t="s">
        <v>47</v>
      </c>
      <c r="B105" s="176">
        <v>0.025049</v>
      </c>
      <c r="C105" s="5">
        <f>ROUND(B105*RAW!$K$16,4)</f>
        <v>0</v>
      </c>
      <c r="D105" s="3"/>
      <c r="E105" s="249"/>
      <c r="F105" s="5">
        <f>F103/32*3</f>
        <v>0.004040625</v>
      </c>
      <c r="G105" s="181">
        <f t="shared" si="9"/>
        <v>0.004</v>
      </c>
    </row>
    <row r="106" spans="1:7" ht="13.5" thickBot="1">
      <c r="A106" s="143" t="s">
        <v>48</v>
      </c>
      <c r="B106" s="176">
        <v>0.033399</v>
      </c>
      <c r="C106" s="5">
        <f>ROUND(B106*RAW!$K$16,4)</f>
        <v>0</v>
      </c>
      <c r="D106" s="3"/>
      <c r="E106" s="3"/>
      <c r="F106" s="5">
        <f>F103/8</f>
        <v>0.0053875</v>
      </c>
      <c r="G106" s="181">
        <f t="shared" si="9"/>
        <v>0.0054</v>
      </c>
    </row>
    <row r="107" spans="1:7" ht="13.5" thickBot="1">
      <c r="A107" s="186" t="s">
        <v>49</v>
      </c>
      <c r="B107" s="182">
        <v>0.050098</v>
      </c>
      <c r="C107" s="184">
        <f>ROUND(B107*RAW!$K$16,4)</f>
        <v>0</v>
      </c>
      <c r="D107" s="183"/>
      <c r="E107" s="183"/>
      <c r="F107" s="184">
        <f>F103/16*3</f>
        <v>0.00808125</v>
      </c>
      <c r="G107" s="185">
        <f t="shared" si="9"/>
        <v>0.0081</v>
      </c>
    </row>
    <row r="108" spans="1:2" ht="13.5" thickBot="1">
      <c r="A108" s="113" t="s">
        <v>50</v>
      </c>
      <c r="B108" s="7"/>
    </row>
    <row r="109" spans="1:7" ht="13.5" thickBot="1">
      <c r="A109" s="143" t="s">
        <v>41</v>
      </c>
      <c r="B109" s="177">
        <v>4.255</v>
      </c>
      <c r="C109" s="179">
        <f>ROUND(B109*RAW!$K$17,4)</f>
        <v>0</v>
      </c>
      <c r="D109" s="179">
        <f>INPUT!$B$14</f>
        <v>0</v>
      </c>
      <c r="E109" s="5">
        <f>E110*2</f>
        <v>0</v>
      </c>
      <c r="F109" s="178">
        <f>+F110*2</f>
        <v>0.6902</v>
      </c>
      <c r="G109" s="180">
        <f aca="true" t="shared" si="10" ref="G109:G116">ROUND(SUM(C109:F109),4)</f>
        <v>0.6902</v>
      </c>
    </row>
    <row r="110" spans="1:7" ht="13.5" thickBot="1">
      <c r="A110" s="143" t="s">
        <v>10</v>
      </c>
      <c r="B110" s="176">
        <v>2.1275</v>
      </c>
      <c r="C110" s="5">
        <f>ROUND(B110*RAW!$K$17,4)</f>
        <v>0</v>
      </c>
      <c r="D110" s="5">
        <f>INPUT!$B$15</f>
        <v>0</v>
      </c>
      <c r="E110" s="5">
        <f>INPUT!B$36</f>
        <v>0</v>
      </c>
      <c r="F110" s="3">
        <f>INPUT!$B$30</f>
        <v>0.3451</v>
      </c>
      <c r="G110" s="181">
        <f t="shared" si="10"/>
        <v>0.3451</v>
      </c>
    </row>
    <row r="111" spans="1:7" ht="13.5" thickBot="1">
      <c r="A111" s="143" t="s">
        <v>11</v>
      </c>
      <c r="B111" s="176">
        <v>1.06375</v>
      </c>
      <c r="C111" s="5">
        <f>ROUND(B111*RAW!$K$17,4)</f>
        <v>0</v>
      </c>
      <c r="D111" s="5">
        <f>INPUT!$B$16</f>
        <v>0</v>
      </c>
      <c r="E111" s="5">
        <f>ROUND(E110/2,4)</f>
        <v>0</v>
      </c>
      <c r="F111" s="3">
        <f>ROUND($F$9/2,4)</f>
        <v>0.1726</v>
      </c>
      <c r="G111" s="181">
        <f t="shared" si="10"/>
        <v>0.1726</v>
      </c>
    </row>
    <row r="112" spans="1:7" ht="13.5" thickBot="1">
      <c r="A112" s="143" t="s">
        <v>212</v>
      </c>
      <c r="B112" s="176">
        <f>B113*1.2</f>
        <v>0.7978128</v>
      </c>
      <c r="C112" s="5">
        <f>ROUND(B112*RAW!$K$17,4)</f>
        <v>0</v>
      </c>
      <c r="D112" s="5">
        <f>INPUT!$B$17</f>
        <v>0.063</v>
      </c>
      <c r="E112" s="5">
        <f>ROUND(E110/32*12,4)</f>
        <v>0</v>
      </c>
      <c r="F112" s="3">
        <f>ROUND($F$9/32*12,4)</f>
        <v>0.1294</v>
      </c>
      <c r="G112" s="181">
        <f t="shared" si="10"/>
        <v>0.1924</v>
      </c>
    </row>
    <row r="113" spans="1:7" ht="13.5" thickBot="1">
      <c r="A113" s="143" t="s">
        <v>42</v>
      </c>
      <c r="B113" s="176">
        <v>0.664844</v>
      </c>
      <c r="C113" s="5">
        <f>ROUND(B113*RAW!$K$17,4)</f>
        <v>0</v>
      </c>
      <c r="D113" s="5">
        <f>INPUT!$B$18</f>
        <v>0.0855</v>
      </c>
      <c r="E113" s="5">
        <f>ROUND(E110/32*10,4)</f>
        <v>0</v>
      </c>
      <c r="F113" s="3">
        <f>ROUND($F$9/32*10,4)</f>
        <v>0.1078</v>
      </c>
      <c r="G113" s="181">
        <f t="shared" si="10"/>
        <v>0.1933</v>
      </c>
    </row>
    <row r="114" spans="1:7" ht="13.5" thickBot="1">
      <c r="A114" s="143" t="s">
        <v>43</v>
      </c>
      <c r="B114" s="176">
        <v>0.531875</v>
      </c>
      <c r="C114" s="5">
        <f>ROUND(B114*RAW!$K$17,4)</f>
        <v>0</v>
      </c>
      <c r="D114" s="5">
        <f>INPUT!$B$19</f>
        <v>0</v>
      </c>
      <c r="E114" s="5">
        <f>ROUND(E110/4,4)</f>
        <v>0</v>
      </c>
      <c r="F114" s="3">
        <f>ROUND($F$9/4,4)</f>
        <v>0.0863</v>
      </c>
      <c r="G114" s="181">
        <f t="shared" si="10"/>
        <v>0.0863</v>
      </c>
    </row>
    <row r="115" spans="1:7" ht="13.5" thickBot="1">
      <c r="A115" s="143" t="s">
        <v>44</v>
      </c>
      <c r="B115" s="176">
        <v>0.265938</v>
      </c>
      <c r="C115" s="5">
        <f>ROUND(B115*RAW!$K$17,4)</f>
        <v>0</v>
      </c>
      <c r="D115" s="5">
        <f>INPUT!$B$21</f>
        <v>0.0386</v>
      </c>
      <c r="E115" s="5">
        <f>ROUND(E110/32*4,4)</f>
        <v>0</v>
      </c>
      <c r="F115" s="3">
        <f>ROUND($F$9/8,4)</f>
        <v>0.0431</v>
      </c>
      <c r="G115" s="181">
        <f t="shared" si="10"/>
        <v>0.0817</v>
      </c>
    </row>
    <row r="116" spans="1:7" ht="13.5" thickBot="1">
      <c r="A116" s="143" t="s">
        <v>45</v>
      </c>
      <c r="B116" s="182">
        <v>2.1275</v>
      </c>
      <c r="C116" s="184">
        <f>ROUND(B116*RAW!$K$17,4)</f>
        <v>0</v>
      </c>
      <c r="D116" s="184">
        <f>INPUT!$B$22</f>
        <v>0.0781</v>
      </c>
      <c r="E116" s="184">
        <f>E110</f>
        <v>0</v>
      </c>
      <c r="F116" s="183">
        <f>ROUND($F$9,4)</f>
        <v>0.3451</v>
      </c>
      <c r="G116" s="185">
        <f t="shared" si="10"/>
        <v>0.4232</v>
      </c>
    </row>
    <row r="117" spans="1:2" ht="13.5" thickBot="1">
      <c r="A117" s="113" t="s">
        <v>34</v>
      </c>
      <c r="B117" s="7"/>
    </row>
    <row r="118" spans="1:7" ht="13.5" thickBot="1">
      <c r="A118" s="143" t="s">
        <v>41</v>
      </c>
      <c r="B118" s="177">
        <v>4.205</v>
      </c>
      <c r="C118" s="179">
        <f>ROUND(B118*RAW!$K$18,4)</f>
        <v>0</v>
      </c>
      <c r="D118" s="179">
        <f>INPUT!$B$14</f>
        <v>0</v>
      </c>
      <c r="E118" s="5">
        <f>E119*2</f>
        <v>0</v>
      </c>
      <c r="F118" s="178">
        <f>+F119*2</f>
        <v>0.6902</v>
      </c>
      <c r="G118" s="180">
        <f aca="true" t="shared" si="11" ref="G118:G125">ROUND(SUM(C118:F118),4)</f>
        <v>0.6902</v>
      </c>
    </row>
    <row r="119" spans="1:7" ht="13.5" thickBot="1">
      <c r="A119" s="143" t="s">
        <v>10</v>
      </c>
      <c r="B119" s="176">
        <v>2.1025</v>
      </c>
      <c r="C119" s="5">
        <f>ROUND(B119*RAW!$K$18,4)</f>
        <v>0</v>
      </c>
      <c r="D119" s="5">
        <f>INPUT!$B$15</f>
        <v>0</v>
      </c>
      <c r="E119" s="5">
        <f>INPUT!B$36</f>
        <v>0</v>
      </c>
      <c r="F119" s="3">
        <f>INPUT!$B$30</f>
        <v>0.3451</v>
      </c>
      <c r="G119" s="181">
        <f t="shared" si="11"/>
        <v>0.3451</v>
      </c>
    </row>
    <row r="120" spans="1:7" ht="13.5" thickBot="1">
      <c r="A120" s="143" t="s">
        <v>11</v>
      </c>
      <c r="B120" s="176">
        <v>1.05125</v>
      </c>
      <c r="C120" s="5">
        <f>ROUND(B120*RAW!$K$18,4)</f>
        <v>0</v>
      </c>
      <c r="D120" s="5">
        <f>INPUT!$B$16</f>
        <v>0</v>
      </c>
      <c r="E120" s="5">
        <f>ROUND(E119/2,4)</f>
        <v>0</v>
      </c>
      <c r="F120" s="3">
        <f>ROUND($F$9/2,4)</f>
        <v>0.1726</v>
      </c>
      <c r="G120" s="181">
        <f t="shared" si="11"/>
        <v>0.1726</v>
      </c>
    </row>
    <row r="121" spans="1:7" ht="13.5" thickBot="1">
      <c r="A121" s="143" t="s">
        <v>212</v>
      </c>
      <c r="B121" s="176">
        <f>B122*1.2</f>
        <v>0.7884372000000001</v>
      </c>
      <c r="C121" s="5">
        <f>ROUND(B121*RAW!$K$18,4)</f>
        <v>0</v>
      </c>
      <c r="D121" s="5">
        <f>INPUT!$B$17</f>
        <v>0.063</v>
      </c>
      <c r="E121" s="5">
        <f>ROUND(E119/32*12,4)</f>
        <v>0</v>
      </c>
      <c r="F121" s="3">
        <f>ROUND($F$9/32*12,4)</f>
        <v>0.1294</v>
      </c>
      <c r="G121" s="181">
        <f t="shared" si="11"/>
        <v>0.1924</v>
      </c>
    </row>
    <row r="122" spans="1:7" ht="13.5" thickBot="1">
      <c r="A122" s="143" t="s">
        <v>42</v>
      </c>
      <c r="B122" s="176">
        <v>0.657031</v>
      </c>
      <c r="C122" s="5">
        <f>ROUND(B122*RAW!$K$18,4)</f>
        <v>0</v>
      </c>
      <c r="D122" s="5">
        <f>INPUT!$B$18</f>
        <v>0.0855</v>
      </c>
      <c r="E122" s="5">
        <f>ROUND(E119/32*10,4)</f>
        <v>0</v>
      </c>
      <c r="F122" s="3">
        <f>ROUND($F$9/32*10,4)</f>
        <v>0.1078</v>
      </c>
      <c r="G122" s="181">
        <f t="shared" si="11"/>
        <v>0.1933</v>
      </c>
    </row>
    <row r="123" spans="1:7" ht="13.5" thickBot="1">
      <c r="A123" s="143" t="s">
        <v>43</v>
      </c>
      <c r="B123" s="176">
        <v>0.525625</v>
      </c>
      <c r="C123" s="5">
        <f>ROUND(B123*RAW!$K$18,4)</f>
        <v>0</v>
      </c>
      <c r="D123" s="5">
        <f>INPUT!$B$19</f>
        <v>0</v>
      </c>
      <c r="E123" s="5">
        <f>ROUND(E119/4,4)</f>
        <v>0</v>
      </c>
      <c r="F123" s="3">
        <f>ROUND($F$9/4,4)</f>
        <v>0.0863</v>
      </c>
      <c r="G123" s="181">
        <f t="shared" si="11"/>
        <v>0.0863</v>
      </c>
    </row>
    <row r="124" spans="1:7" ht="13.5" thickBot="1">
      <c r="A124" s="143" t="s">
        <v>44</v>
      </c>
      <c r="B124" s="176">
        <v>0.262813</v>
      </c>
      <c r="C124" s="5">
        <f>ROUND(B124*RAW!$K$18,4)</f>
        <v>0</v>
      </c>
      <c r="D124" s="5">
        <f>INPUT!$B$21</f>
        <v>0.0386</v>
      </c>
      <c r="E124" s="5">
        <f>ROUND(E119/32*4,4)</f>
        <v>0</v>
      </c>
      <c r="F124" s="3">
        <f>ROUND($F$9/8,4)</f>
        <v>0.0431</v>
      </c>
      <c r="G124" s="181">
        <f t="shared" si="11"/>
        <v>0.0817</v>
      </c>
    </row>
    <row r="125" spans="1:7" ht="13.5" thickBot="1">
      <c r="A125" s="143" t="s">
        <v>45</v>
      </c>
      <c r="B125" s="182">
        <v>2.1025</v>
      </c>
      <c r="C125" s="184">
        <f>ROUND(B125*RAW!$K$18,4)</f>
        <v>0</v>
      </c>
      <c r="D125" s="184">
        <f>INPUT!$B$22</f>
        <v>0.0781</v>
      </c>
      <c r="E125" s="184">
        <f>E119</f>
        <v>0</v>
      </c>
      <c r="F125" s="183">
        <f>ROUND($F$9,4)</f>
        <v>0.3451</v>
      </c>
      <c r="G125" s="185">
        <f t="shared" si="11"/>
        <v>0.4232</v>
      </c>
    </row>
    <row r="126" spans="1:2" ht="13.5" thickBot="1">
      <c r="A126" s="113" t="s">
        <v>35</v>
      </c>
      <c r="B126" s="7"/>
    </row>
    <row r="127" spans="1:7" ht="13.5" thickBot="1">
      <c r="A127" s="143" t="s">
        <v>41</v>
      </c>
      <c r="B127" s="177">
        <f>B128*2</f>
        <v>4.18</v>
      </c>
      <c r="C127" s="179">
        <f>ROUND(B127*RAW!$K$19,4)</f>
        <v>0</v>
      </c>
      <c r="D127" s="179">
        <f>INPUT!$B$14</f>
        <v>0</v>
      </c>
      <c r="E127" s="5">
        <f>E128*2</f>
        <v>0</v>
      </c>
      <c r="F127" s="178">
        <f>+F128*2</f>
        <v>0.6902</v>
      </c>
      <c r="G127" s="180">
        <f aca="true" t="shared" si="12" ref="G127:G134">ROUND(SUM(C127:F127),4)</f>
        <v>0.6902</v>
      </c>
    </row>
    <row r="128" spans="1:7" ht="13.5" thickBot="1">
      <c r="A128" s="143" t="s">
        <v>10</v>
      </c>
      <c r="B128" s="176">
        <v>2.09</v>
      </c>
      <c r="C128" s="5">
        <f>ROUND(B128*RAW!$K$19,4)</f>
        <v>0</v>
      </c>
      <c r="D128" s="5">
        <f>INPUT!$B$15</f>
        <v>0</v>
      </c>
      <c r="E128" s="5">
        <f>INPUT!B$36</f>
        <v>0</v>
      </c>
      <c r="F128" s="3">
        <f>INPUT!$B$30</f>
        <v>0.3451</v>
      </c>
      <c r="G128" s="181">
        <f t="shared" si="12"/>
        <v>0.3451</v>
      </c>
    </row>
    <row r="129" spans="1:7" ht="13.5" thickBot="1">
      <c r="A129" s="143" t="s">
        <v>11</v>
      </c>
      <c r="B129" s="176">
        <f>ROUND(B128/2,6)</f>
        <v>1.045</v>
      </c>
      <c r="C129" s="5">
        <f>ROUND(B129*RAW!$K$19,4)</f>
        <v>0</v>
      </c>
      <c r="D129" s="5">
        <f>INPUT!$B$16</f>
        <v>0</v>
      </c>
      <c r="E129" s="5">
        <f>ROUND(E128/2,4)</f>
        <v>0</v>
      </c>
      <c r="F129" s="3">
        <f>ROUND($F$9/2,4)</f>
        <v>0.1726</v>
      </c>
      <c r="G129" s="181">
        <f t="shared" si="12"/>
        <v>0.1726</v>
      </c>
    </row>
    <row r="130" spans="1:7" ht="13.5" thickBot="1">
      <c r="A130" s="143" t="s">
        <v>212</v>
      </c>
      <c r="B130" s="176">
        <f>B131*1.2</f>
        <v>0.78375</v>
      </c>
      <c r="C130" s="5">
        <f>ROUND(B130*RAW!$K$19,4)</f>
        <v>0</v>
      </c>
      <c r="D130" s="5">
        <f>INPUT!$B$17</f>
        <v>0.063</v>
      </c>
      <c r="E130" s="5">
        <f>ROUND(E128/32*12,4)</f>
        <v>0</v>
      </c>
      <c r="F130" s="3">
        <f>ROUND($F$9/32*12,4)</f>
        <v>0.1294</v>
      </c>
      <c r="G130" s="181">
        <f t="shared" si="12"/>
        <v>0.1924</v>
      </c>
    </row>
    <row r="131" spans="1:7" ht="13.5" thickBot="1">
      <c r="A131" s="143" t="s">
        <v>42</v>
      </c>
      <c r="B131" s="176">
        <f>ROUND(B128/32*10,6)</f>
        <v>0.653125</v>
      </c>
      <c r="C131" s="5">
        <f>ROUND(B131*RAW!$K$19,4)</f>
        <v>0</v>
      </c>
      <c r="D131" s="5">
        <f>INPUT!$B$18</f>
        <v>0.0855</v>
      </c>
      <c r="E131" s="5">
        <f>ROUND(E128/32*10,4)</f>
        <v>0</v>
      </c>
      <c r="F131" s="3">
        <f>ROUND($F$9/32*10,4)</f>
        <v>0.1078</v>
      </c>
      <c r="G131" s="181">
        <f t="shared" si="12"/>
        <v>0.1933</v>
      </c>
    </row>
    <row r="132" spans="1:7" ht="13.5" thickBot="1">
      <c r="A132" s="143" t="s">
        <v>43</v>
      </c>
      <c r="B132" s="176">
        <f>ROUND(B129/2,6)</f>
        <v>0.5225</v>
      </c>
      <c r="C132" s="5">
        <f>ROUND(B132*RAW!$K$19,4)</f>
        <v>0</v>
      </c>
      <c r="D132" s="5">
        <f>INPUT!$B$19</f>
        <v>0</v>
      </c>
      <c r="E132" s="5">
        <f>ROUND(E128/4,4)</f>
        <v>0</v>
      </c>
      <c r="F132" s="3">
        <f>ROUND($F$9/4,4)</f>
        <v>0.0863</v>
      </c>
      <c r="G132" s="181">
        <f t="shared" si="12"/>
        <v>0.0863</v>
      </c>
    </row>
    <row r="133" spans="1:7" ht="13.5" thickBot="1">
      <c r="A133" s="143" t="s">
        <v>44</v>
      </c>
      <c r="B133" s="176">
        <f>ROUND(B132/2,6)</f>
        <v>0.26125</v>
      </c>
      <c r="C133" s="5">
        <f>ROUND(B133*RAW!$K$19,4)</f>
        <v>0</v>
      </c>
      <c r="D133" s="5">
        <f>INPUT!$B$21</f>
        <v>0.0386</v>
      </c>
      <c r="E133" s="5">
        <f>ROUND(E128/32*4,4)</f>
        <v>0</v>
      </c>
      <c r="F133" s="3">
        <f>ROUND($F$9/8,4)</f>
        <v>0.0431</v>
      </c>
      <c r="G133" s="181">
        <f t="shared" si="12"/>
        <v>0.0817</v>
      </c>
    </row>
    <row r="134" spans="1:7" ht="13.5" thickBot="1">
      <c r="A134" s="143" t="s">
        <v>45</v>
      </c>
      <c r="B134" s="182">
        <f>B128</f>
        <v>2.09</v>
      </c>
      <c r="C134" s="184">
        <f>ROUND(B134*RAW!$K$19,4)</f>
        <v>0</v>
      </c>
      <c r="D134" s="184">
        <f>INPUT!$B$22</f>
        <v>0.0781</v>
      </c>
      <c r="E134" s="184">
        <f>E128</f>
        <v>0</v>
      </c>
      <c r="F134" s="183">
        <f>ROUND($F$9,4)</f>
        <v>0.3451</v>
      </c>
      <c r="G134" s="185">
        <f t="shared" si="12"/>
        <v>0.4232</v>
      </c>
    </row>
    <row r="135" spans="1:2" ht="13.5" thickBot="1">
      <c r="A135" s="113" t="s">
        <v>51</v>
      </c>
      <c r="B135" s="7"/>
    </row>
    <row r="136" spans="1:7" ht="13.5" thickBot="1">
      <c r="A136" s="143" t="s">
        <v>41</v>
      </c>
      <c r="B136" s="177">
        <v>4.255</v>
      </c>
      <c r="C136" s="179">
        <f>ROUND(B136*RAW!$K$20,4)</f>
        <v>0</v>
      </c>
      <c r="D136" s="179"/>
      <c r="E136" s="5">
        <f>E137*2</f>
        <v>0</v>
      </c>
      <c r="F136" s="178">
        <f>+F137*2</f>
        <v>0.6902</v>
      </c>
      <c r="G136" s="180">
        <f aca="true" t="shared" si="13" ref="G136:G143">ROUND(SUM(C136:F136),4)</f>
        <v>0.6902</v>
      </c>
    </row>
    <row r="137" spans="1:7" ht="13.5" thickBot="1">
      <c r="A137" s="143" t="s">
        <v>10</v>
      </c>
      <c r="B137" s="176">
        <v>2.1275</v>
      </c>
      <c r="C137" s="5">
        <f>ROUND(B137*RAW!$K$20,4)</f>
        <v>0</v>
      </c>
      <c r="D137" s="5"/>
      <c r="E137" s="5">
        <f>INPUT!B$36</f>
        <v>0</v>
      </c>
      <c r="F137" s="3">
        <f>INPUT!$B$30</f>
        <v>0.3451</v>
      </c>
      <c r="G137" s="181">
        <f t="shared" si="13"/>
        <v>0.3451</v>
      </c>
    </row>
    <row r="138" spans="1:7" ht="13.5" thickBot="1">
      <c r="A138" s="143" t="s">
        <v>11</v>
      </c>
      <c r="B138" s="176">
        <v>1.06375</v>
      </c>
      <c r="C138" s="5">
        <f>ROUND(B138*RAW!$K$20,4)</f>
        <v>0</v>
      </c>
      <c r="D138" s="5"/>
      <c r="E138" s="5">
        <f>ROUND(E137/2,4)</f>
        <v>0</v>
      </c>
      <c r="F138" s="3">
        <f>ROUND($F$9/2,4)</f>
        <v>0.1726</v>
      </c>
      <c r="G138" s="181">
        <f t="shared" si="13"/>
        <v>0.1726</v>
      </c>
    </row>
    <row r="139" spans="1:7" ht="13.5" thickBot="1">
      <c r="A139" s="143" t="s">
        <v>212</v>
      </c>
      <c r="B139" s="176">
        <f>B140*1.2</f>
        <v>0.7978128</v>
      </c>
      <c r="C139" s="5">
        <f>ROUND(B139*RAW!$K$20,4)</f>
        <v>0</v>
      </c>
      <c r="D139" s="5"/>
      <c r="E139" s="5">
        <f>ROUND(E137/32*12,4)</f>
        <v>0</v>
      </c>
      <c r="F139" s="3">
        <f>ROUND($F$9/32*12,4)</f>
        <v>0.1294</v>
      </c>
      <c r="G139" s="181">
        <f t="shared" si="13"/>
        <v>0.1294</v>
      </c>
    </row>
    <row r="140" spans="1:7" ht="13.5" thickBot="1">
      <c r="A140" s="143" t="s">
        <v>42</v>
      </c>
      <c r="B140" s="176">
        <v>0.664844</v>
      </c>
      <c r="C140" s="5">
        <f>ROUND(B140*RAW!$K$20,4)</f>
        <v>0</v>
      </c>
      <c r="D140" s="5"/>
      <c r="E140" s="5">
        <f>ROUND(E137/32*10,4)</f>
        <v>0</v>
      </c>
      <c r="F140" s="3">
        <f>ROUND($F$9/32*10,4)</f>
        <v>0.1078</v>
      </c>
      <c r="G140" s="181">
        <f t="shared" si="13"/>
        <v>0.1078</v>
      </c>
    </row>
    <row r="141" spans="1:7" ht="13.5" thickBot="1">
      <c r="A141" s="143" t="s">
        <v>43</v>
      </c>
      <c r="B141" s="176">
        <v>0.531875</v>
      </c>
      <c r="C141" s="5">
        <f>ROUND(B141*RAW!$K$20,4)</f>
        <v>0</v>
      </c>
      <c r="D141" s="5"/>
      <c r="E141" s="5">
        <f>ROUND(E137/4,4)</f>
        <v>0</v>
      </c>
      <c r="F141" s="3">
        <f>ROUND($F$9/4,4)</f>
        <v>0.0863</v>
      </c>
      <c r="G141" s="181">
        <f t="shared" si="13"/>
        <v>0.0863</v>
      </c>
    </row>
    <row r="142" spans="1:7" ht="13.5" thickBot="1">
      <c r="A142" s="143" t="s">
        <v>44</v>
      </c>
      <c r="B142" s="176">
        <v>0.265938</v>
      </c>
      <c r="C142" s="5">
        <f>ROUND(B142*RAW!$K$20,4)</f>
        <v>0</v>
      </c>
      <c r="D142" s="5"/>
      <c r="E142" s="5">
        <f>ROUND(E137/32*4,4)</f>
        <v>0</v>
      </c>
      <c r="F142" s="3">
        <f>ROUND($F$9/8,4)</f>
        <v>0.0431</v>
      </c>
      <c r="G142" s="181">
        <f t="shared" si="13"/>
        <v>0.0431</v>
      </c>
    </row>
    <row r="143" spans="1:7" ht="13.5" thickBot="1">
      <c r="A143" s="143" t="s">
        <v>45</v>
      </c>
      <c r="B143" s="182">
        <v>2.1275</v>
      </c>
      <c r="C143" s="184">
        <f>ROUND(B143*RAW!$K$20,4)</f>
        <v>0</v>
      </c>
      <c r="D143" s="184"/>
      <c r="E143" s="184">
        <f>E137</f>
        <v>0</v>
      </c>
      <c r="F143" s="183">
        <f>ROUND($F$9,4)</f>
        <v>0.3451</v>
      </c>
      <c r="G143" s="185">
        <f t="shared" si="13"/>
        <v>0.3451</v>
      </c>
    </row>
  </sheetData>
  <sheetProtection/>
  <printOptions horizontalCentered="1"/>
  <pageMargins left="0.75" right="0.75" top="0.5" bottom="0.5" header="0.5" footer="0.5"/>
  <pageSetup horizontalDpi="300" verticalDpi="300" orientation="portrait" scale="92" r:id="rId1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zoomScale="75" zoomScaleNormal="75" zoomScalePageLayoutView="0" workbookViewId="0" topLeftCell="A4">
      <pane xSplit="3" ySplit="4" topLeftCell="D8" activePane="bottomRight" state="frozen"/>
      <selection pane="topLeft" activeCell="G135" sqref="G135:G142"/>
      <selection pane="topRight" activeCell="G135" sqref="G135:G142"/>
      <selection pane="bottomLeft" activeCell="G135" sqref="G135:G142"/>
      <selection pane="bottomRight" activeCell="G135" sqref="G135:G142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3.421875" style="0" customWidth="1"/>
    <col min="5" max="5" width="16.28125" style="0" customWidth="1"/>
    <col min="6" max="7" width="13.57421875" style="0" customWidth="1"/>
    <col min="8" max="8" width="16.7109375" style="0" customWidth="1"/>
    <col min="9" max="9" width="12.7109375" style="0" customWidth="1"/>
    <col min="10" max="10" width="10.421875" style="0" customWidth="1"/>
    <col min="11" max="11" width="10.00390625" style="0" customWidth="1"/>
    <col min="12" max="13" width="11.7109375" style="0" customWidth="1"/>
    <col min="14" max="14" width="14.421875" style="0" customWidth="1"/>
    <col min="15" max="15" width="13.7109375" style="0" customWidth="1"/>
    <col min="16" max="18" width="12.7109375" style="0" customWidth="1"/>
    <col min="19" max="19" width="9.7109375" style="0" customWidth="1"/>
    <col min="20" max="20" width="11.00390625" style="0" customWidth="1"/>
    <col min="21" max="21" width="11.7109375" style="0" bestFit="1" customWidth="1"/>
  </cols>
  <sheetData>
    <row r="1" spans="3:19" ht="12.75">
      <c r="C1" s="8" t="s">
        <v>19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 t="s">
        <v>154</v>
      </c>
      <c r="P1" s="8"/>
      <c r="Q1" s="8"/>
      <c r="R1" s="8"/>
      <c r="S1" s="8"/>
    </row>
    <row r="2" spans="3:19" ht="12.75">
      <c r="C2" s="8" t="s">
        <v>143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154</v>
      </c>
      <c r="P2" s="8"/>
      <c r="Q2" s="8"/>
      <c r="R2" s="8"/>
      <c r="S2" s="8"/>
    </row>
    <row r="3" spans="3:19" ht="16.5" thickBot="1">
      <c r="C3" s="200">
        <f>INPUT!B3</f>
        <v>0</v>
      </c>
      <c r="D3" s="110"/>
      <c r="E3" s="112"/>
      <c r="F3" s="8"/>
      <c r="G3" s="8"/>
      <c r="H3" s="8"/>
      <c r="I3" s="8"/>
      <c r="J3" s="8"/>
      <c r="K3" s="8"/>
      <c r="L3" s="8"/>
      <c r="M3" s="8"/>
      <c r="N3" s="8"/>
      <c r="O3" s="8" t="s">
        <v>154</v>
      </c>
      <c r="P3" s="8"/>
      <c r="Q3" s="8"/>
      <c r="R3" s="8"/>
      <c r="S3" s="8"/>
    </row>
    <row r="4" spans="4:22" ht="12.75">
      <c r="D4" s="174">
        <v>1</v>
      </c>
      <c r="E4" s="174">
        <v>2</v>
      </c>
      <c r="F4" s="174">
        <v>3</v>
      </c>
      <c r="G4" s="271"/>
      <c r="H4" s="268">
        <v>4</v>
      </c>
      <c r="I4" s="174">
        <v>5</v>
      </c>
      <c r="J4" s="174">
        <v>6</v>
      </c>
      <c r="K4" s="174">
        <v>7</v>
      </c>
      <c r="L4" s="174">
        <v>8</v>
      </c>
      <c r="M4" s="174">
        <v>9</v>
      </c>
      <c r="N4" s="174">
        <v>10</v>
      </c>
      <c r="O4" s="174">
        <v>11</v>
      </c>
      <c r="P4" s="174">
        <v>12</v>
      </c>
      <c r="Q4" s="114" t="s">
        <v>154</v>
      </c>
      <c r="R4" s="114"/>
      <c r="S4" s="114"/>
      <c r="T4" s="114"/>
      <c r="U4" s="114"/>
      <c r="V4" s="115"/>
    </row>
    <row r="5" spans="4:22" ht="12.75">
      <c r="D5" s="140" t="s">
        <v>52</v>
      </c>
      <c r="E5" s="140" t="s">
        <v>53</v>
      </c>
      <c r="F5" s="140" t="s">
        <v>55</v>
      </c>
      <c r="G5" s="272" t="s">
        <v>135</v>
      </c>
      <c r="I5" s="140"/>
      <c r="J5" s="187">
        <f>INPUT!B57</f>
        <v>0.035</v>
      </c>
      <c r="K5" s="140" t="s">
        <v>54</v>
      </c>
      <c r="L5" s="140" t="s">
        <v>52</v>
      </c>
      <c r="M5" s="140" t="s">
        <v>55</v>
      </c>
      <c r="N5" s="140"/>
      <c r="O5" s="140"/>
      <c r="P5" s="140"/>
      <c r="Q5" s="114"/>
      <c r="R5" s="114"/>
      <c r="S5" s="114"/>
      <c r="T5" s="114"/>
      <c r="U5" s="114"/>
      <c r="V5" s="115"/>
    </row>
    <row r="6" spans="4:22" ht="12.75">
      <c r="D6" s="140" t="s">
        <v>56</v>
      </c>
      <c r="E6" s="140" t="s">
        <v>57</v>
      </c>
      <c r="F6" s="140" t="s">
        <v>38</v>
      </c>
      <c r="G6" s="272"/>
      <c r="H6" s="269" t="s">
        <v>136</v>
      </c>
      <c r="I6" s="140" t="s">
        <v>58</v>
      </c>
      <c r="J6" s="140" t="s">
        <v>18</v>
      </c>
      <c r="K6" s="140" t="s">
        <v>59</v>
      </c>
      <c r="L6" s="140" t="s">
        <v>60</v>
      </c>
      <c r="M6" s="140" t="s">
        <v>60</v>
      </c>
      <c r="N6" s="140"/>
      <c r="O6" s="140" t="s">
        <v>183</v>
      </c>
      <c r="P6" s="140" t="s">
        <v>184</v>
      </c>
      <c r="Q6" s="114"/>
      <c r="R6" s="114"/>
      <c r="S6" s="116"/>
      <c r="T6" s="116"/>
      <c r="U6" s="116"/>
      <c r="V6" s="115"/>
    </row>
    <row r="7" spans="4:22" ht="13.5" thickBot="1">
      <c r="D7" s="141" t="s">
        <v>26</v>
      </c>
      <c r="E7" s="141" t="s">
        <v>62</v>
      </c>
      <c r="F7" s="141" t="s">
        <v>62</v>
      </c>
      <c r="G7" s="273"/>
      <c r="H7" s="270" t="s">
        <v>137</v>
      </c>
      <c r="I7" s="141" t="s">
        <v>54</v>
      </c>
      <c r="J7" s="141" t="s">
        <v>61</v>
      </c>
      <c r="K7" s="141" t="s">
        <v>18</v>
      </c>
      <c r="L7" s="141" t="s">
        <v>62</v>
      </c>
      <c r="M7" s="141" t="s">
        <v>62</v>
      </c>
      <c r="N7" s="141" t="s">
        <v>58</v>
      </c>
      <c r="O7" s="141" t="s">
        <v>58</v>
      </c>
      <c r="P7" s="141" t="s">
        <v>185</v>
      </c>
      <c r="Q7" s="114"/>
      <c r="R7" s="114"/>
      <c r="S7" s="116"/>
      <c r="T7" s="116"/>
      <c r="U7" s="116"/>
      <c r="V7" s="115"/>
    </row>
    <row r="8" spans="3:22" ht="13.5" thickBot="1">
      <c r="C8" s="113"/>
      <c r="Q8" s="115"/>
      <c r="R8" s="115"/>
      <c r="S8" s="115"/>
      <c r="T8" s="115"/>
      <c r="U8" s="115"/>
      <c r="V8" s="115"/>
    </row>
    <row r="9" spans="1:22" ht="14.25" thickBot="1" thickTop="1">
      <c r="A9" s="334" t="s">
        <v>193</v>
      </c>
      <c r="B9" s="331" t="s">
        <v>194</v>
      </c>
      <c r="C9" s="143" t="s">
        <v>9</v>
      </c>
      <c r="D9" s="189">
        <f>'CNTNR COST'!G7</f>
        <v>1.3916</v>
      </c>
      <c r="E9" s="178">
        <v>0</v>
      </c>
      <c r="F9" s="178">
        <f>INPUT!B63</f>
        <v>-0.1067</v>
      </c>
      <c r="G9" s="190">
        <f>ROUND($G$11*4,6)</f>
        <v>0.0768</v>
      </c>
      <c r="H9" s="190">
        <f>ROUND($H$11*4,6)</f>
        <v>0</v>
      </c>
      <c r="I9" s="178">
        <f>ROUND(SUM(D9:H9),4)</f>
        <v>1.3617</v>
      </c>
      <c r="J9" s="178">
        <f>(I9/(1-$J$5))-I9</f>
        <v>0.0493880829015545</v>
      </c>
      <c r="K9" s="179">
        <f>ROUND(I9+J9,4)</f>
        <v>1.4111</v>
      </c>
      <c r="L9" s="178">
        <f>ROUND(L$11*4,4)</f>
        <v>-0.3356</v>
      </c>
      <c r="M9" s="178">
        <f>ROUND(M$11*4,4)</f>
        <v>0.9364</v>
      </c>
      <c r="N9" s="178">
        <f aca="true" t="shared" si="0" ref="N9:N17">ROUND(SUM(K9:M9),4)</f>
        <v>2.0119</v>
      </c>
      <c r="O9" s="234"/>
      <c r="P9" s="180">
        <f aca="true" t="shared" si="1" ref="P9:P17">N9-O9</f>
        <v>2.0119</v>
      </c>
      <c r="Q9" s="117"/>
      <c r="R9" s="117"/>
      <c r="S9" s="118"/>
      <c r="T9" s="119"/>
      <c r="U9" s="119"/>
      <c r="V9" s="115"/>
    </row>
    <row r="10" spans="1:22" ht="13.5" thickBot="1">
      <c r="A10" s="329"/>
      <c r="B10" s="332"/>
      <c r="C10" s="143" t="s">
        <v>41</v>
      </c>
      <c r="D10" s="188">
        <f>'CNTNR COST'!G8</f>
        <v>0.6958</v>
      </c>
      <c r="E10" s="3">
        <v>0</v>
      </c>
      <c r="F10" s="3">
        <f>INPUT!B64</f>
        <v>-0.0317</v>
      </c>
      <c r="G10" s="6">
        <f>ROUND($G$11*2,6)</f>
        <v>0.0384</v>
      </c>
      <c r="H10" s="6">
        <f>ROUND($H$11*2,6)</f>
        <v>0</v>
      </c>
      <c r="I10" s="3">
        <f aca="true" t="shared" si="2" ref="I10:I17">ROUND(SUM(D10:H10),4)</f>
        <v>0.7025</v>
      </c>
      <c r="J10" s="3">
        <f aca="true" t="shared" si="3" ref="J10:J17">(I10/(1-$J$5))-I10</f>
        <v>0.025479274611398983</v>
      </c>
      <c r="K10" s="5">
        <f aca="true" t="shared" si="4" ref="K10:K17">ROUND(I10+J10,4)</f>
        <v>0.728</v>
      </c>
      <c r="L10" s="3">
        <f>ROUND(L$11*2,4)</f>
        <v>-0.1678</v>
      </c>
      <c r="M10" s="3">
        <f>ROUND(M$11*2,4)</f>
        <v>0.4682</v>
      </c>
      <c r="N10" s="3">
        <f t="shared" si="0"/>
        <v>1.0284</v>
      </c>
      <c r="O10" s="235"/>
      <c r="P10" s="181">
        <f t="shared" si="1"/>
        <v>1.0284</v>
      </c>
      <c r="Q10" s="117"/>
      <c r="R10" s="117"/>
      <c r="S10" s="118"/>
      <c r="T10" s="119"/>
      <c r="U10" s="119"/>
      <c r="V10" s="115"/>
    </row>
    <row r="11" spans="1:22" ht="13.5" thickBot="1">
      <c r="A11" s="329"/>
      <c r="B11" s="332"/>
      <c r="C11" s="143" t="s">
        <v>10</v>
      </c>
      <c r="D11" s="188">
        <f>'CNTNR COST'!G9</f>
        <v>0.3479</v>
      </c>
      <c r="E11" s="3">
        <v>0</v>
      </c>
      <c r="F11" s="3">
        <f>INPUT!B65</f>
        <v>0.0467</v>
      </c>
      <c r="G11" s="6">
        <f>ROUND(COST_UPDATE_ADJ,4)</f>
        <v>0.0192</v>
      </c>
      <c r="H11" s="6">
        <f>Energy_Addon</f>
        <v>0</v>
      </c>
      <c r="I11" s="3">
        <f t="shared" si="2"/>
        <v>0.4138</v>
      </c>
      <c r="J11" s="3">
        <f t="shared" si="3"/>
        <v>0.015008290155440418</v>
      </c>
      <c r="K11" s="5">
        <f t="shared" si="4"/>
        <v>0.4288</v>
      </c>
      <c r="L11" s="253">
        <v>-0.0839</v>
      </c>
      <c r="M11" s="253">
        <v>0.2341</v>
      </c>
      <c r="N11" s="3">
        <f t="shared" si="0"/>
        <v>0.579</v>
      </c>
      <c r="O11" s="235"/>
      <c r="P11" s="181">
        <f t="shared" si="1"/>
        <v>0.579</v>
      </c>
      <c r="Q11" s="117"/>
      <c r="R11" s="117"/>
      <c r="S11" s="118"/>
      <c r="T11" s="119"/>
      <c r="U11" s="119"/>
      <c r="V11" s="115"/>
    </row>
    <row r="12" spans="1:22" ht="13.5" thickBot="1">
      <c r="A12" s="329"/>
      <c r="B12" s="332"/>
      <c r="C12" s="143" t="s">
        <v>11</v>
      </c>
      <c r="D12" s="188">
        <f>'CNTNR COST'!G10</f>
        <v>0.174</v>
      </c>
      <c r="E12" s="3">
        <v>0</v>
      </c>
      <c r="F12" s="3">
        <f>INPUT!B66</f>
        <v>0.0633</v>
      </c>
      <c r="G12" s="6">
        <f>ROUND($G$11/2,4)</f>
        <v>0.0096</v>
      </c>
      <c r="H12" s="6">
        <f>ROUND($H$11/2,4)</f>
        <v>0</v>
      </c>
      <c r="I12" s="3">
        <f t="shared" si="2"/>
        <v>0.2469</v>
      </c>
      <c r="J12" s="3">
        <f t="shared" si="3"/>
        <v>0.008954922279792776</v>
      </c>
      <c r="K12" s="5">
        <f t="shared" si="4"/>
        <v>0.2559</v>
      </c>
      <c r="L12" s="3">
        <f>ROUND(L$11/2,4)</f>
        <v>-0.042</v>
      </c>
      <c r="M12" s="3">
        <f>ROUND(M$11/2,4)</f>
        <v>0.1171</v>
      </c>
      <c r="N12" s="3">
        <f t="shared" si="0"/>
        <v>0.331</v>
      </c>
      <c r="O12" s="235"/>
      <c r="P12" s="181">
        <f t="shared" si="1"/>
        <v>0.331</v>
      </c>
      <c r="Q12" s="117"/>
      <c r="R12" s="117"/>
      <c r="S12" s="118"/>
      <c r="T12" s="119"/>
      <c r="U12" s="119"/>
      <c r="V12" s="115"/>
    </row>
    <row r="13" spans="1:22" ht="13.5" thickBot="1">
      <c r="A13" s="329"/>
      <c r="B13" s="332"/>
      <c r="C13" s="143" t="s">
        <v>212</v>
      </c>
      <c r="D13" s="188">
        <f>'CNTNR COST'!G11</f>
        <v>0.1934</v>
      </c>
      <c r="E13" s="3"/>
      <c r="F13" s="3">
        <f>INPUT!B67</f>
        <v>0</v>
      </c>
      <c r="G13" s="6">
        <f>ROUND($G$11/32*12,4)</f>
        <v>0.0072</v>
      </c>
      <c r="H13" s="6">
        <f>ROUND($H$11/32*12,4)</f>
        <v>0</v>
      </c>
      <c r="I13" s="3">
        <f t="shared" si="2"/>
        <v>0.2006</v>
      </c>
      <c r="J13" s="3">
        <f t="shared" si="3"/>
        <v>0.007275647668393781</v>
      </c>
      <c r="K13" s="5">
        <f t="shared" si="4"/>
        <v>0.2079</v>
      </c>
      <c r="L13" s="3">
        <f>ROUND(L$11/32*12,4)</f>
        <v>-0.0315</v>
      </c>
      <c r="M13" s="3">
        <f>ROUND(M$11/32*12,4)</f>
        <v>0.0878</v>
      </c>
      <c r="N13" s="3">
        <f t="shared" si="0"/>
        <v>0.2642</v>
      </c>
      <c r="O13" s="235"/>
      <c r="P13" s="181"/>
      <c r="Q13" s="117"/>
      <c r="R13" s="117"/>
      <c r="S13" s="118"/>
      <c r="T13" s="119"/>
      <c r="U13" s="119"/>
      <c r="V13" s="115"/>
    </row>
    <row r="14" spans="1:22" ht="13.5" thickBot="1">
      <c r="A14" s="329"/>
      <c r="B14" s="332"/>
      <c r="C14" s="143" t="s">
        <v>42</v>
      </c>
      <c r="D14" s="188">
        <f>'CNTNR COST'!G12</f>
        <v>0.1942</v>
      </c>
      <c r="E14" s="3">
        <v>0</v>
      </c>
      <c r="F14" s="3">
        <f>INPUT!B68</f>
        <v>0</v>
      </c>
      <c r="G14" s="6">
        <f>ROUND($G$11/32*10,4)</f>
        <v>0.006</v>
      </c>
      <c r="H14" s="6">
        <f>ROUND($H$11/32*10,4)</f>
        <v>0</v>
      </c>
      <c r="I14" s="3">
        <f t="shared" si="2"/>
        <v>0.2002</v>
      </c>
      <c r="J14" s="3">
        <f t="shared" si="3"/>
        <v>0.007261139896373059</v>
      </c>
      <c r="K14" s="5">
        <f t="shared" si="4"/>
        <v>0.2075</v>
      </c>
      <c r="L14" s="3">
        <f>ROUND(L$11/32*10,4)</f>
        <v>-0.0262</v>
      </c>
      <c r="M14" s="3">
        <f>ROUND(M$11/32*10,4)</f>
        <v>0.0732</v>
      </c>
      <c r="N14" s="3">
        <f t="shared" si="0"/>
        <v>0.2545</v>
      </c>
      <c r="O14" s="235"/>
      <c r="P14" s="181">
        <f t="shared" si="1"/>
        <v>0.2545</v>
      </c>
      <c r="Q14" s="117"/>
      <c r="R14" s="117"/>
      <c r="S14" s="118"/>
      <c r="T14" s="119"/>
      <c r="U14" s="119"/>
      <c r="V14" s="115"/>
    </row>
    <row r="15" spans="1:22" ht="13.5" thickBot="1">
      <c r="A15" s="329"/>
      <c r="B15" s="332"/>
      <c r="C15" s="143" t="s">
        <v>43</v>
      </c>
      <c r="D15" s="248">
        <f>'CNTNR COST'!G13</f>
        <v>0.087</v>
      </c>
      <c r="E15" s="3">
        <v>0</v>
      </c>
      <c r="F15" s="3">
        <f>INPUT!B69</f>
        <v>0.0247</v>
      </c>
      <c r="G15" s="6">
        <f>ROUND($G$11/4,4)</f>
        <v>0.0048</v>
      </c>
      <c r="H15" s="6">
        <f>ROUND($H$11/4,4)</f>
        <v>0</v>
      </c>
      <c r="I15" s="3">
        <f t="shared" si="2"/>
        <v>0.1165</v>
      </c>
      <c r="J15" s="3">
        <f t="shared" si="3"/>
        <v>0.004225388601036273</v>
      </c>
      <c r="K15" s="5">
        <f t="shared" si="4"/>
        <v>0.1207</v>
      </c>
      <c r="L15" s="3">
        <f>ROUND(L$11/4,4)</f>
        <v>-0.021</v>
      </c>
      <c r="M15" s="3">
        <f>ROUND(M$11/4,4)</f>
        <v>0.0585</v>
      </c>
      <c r="N15" s="3">
        <f t="shared" si="0"/>
        <v>0.1582</v>
      </c>
      <c r="O15" s="235"/>
      <c r="P15" s="181">
        <f t="shared" si="1"/>
        <v>0.1582</v>
      </c>
      <c r="Q15" s="117"/>
      <c r="R15" s="117"/>
      <c r="S15" s="118"/>
      <c r="T15" s="119"/>
      <c r="U15" s="119"/>
      <c r="V15" s="115"/>
    </row>
    <row r="16" spans="1:22" ht="13.5" thickBot="1">
      <c r="A16" s="329"/>
      <c r="B16" s="332"/>
      <c r="C16" s="143" t="s">
        <v>44</v>
      </c>
      <c r="D16" s="188">
        <f>'CNTNR COST'!G14</f>
        <v>0.082</v>
      </c>
      <c r="E16" s="3">
        <v>0</v>
      </c>
      <c r="F16" s="3">
        <f>INPUT!B70</f>
        <v>0.0414</v>
      </c>
      <c r="G16" s="6">
        <f>ROUND($G$11/8,4)</f>
        <v>0.0024</v>
      </c>
      <c r="H16" s="6">
        <f>ROUND($H$11/8,4)</f>
        <v>0</v>
      </c>
      <c r="I16" s="3">
        <f t="shared" si="2"/>
        <v>0.1258</v>
      </c>
      <c r="J16" s="3">
        <f t="shared" si="3"/>
        <v>0.004562694300518144</v>
      </c>
      <c r="K16" s="5">
        <f t="shared" si="4"/>
        <v>0.1304</v>
      </c>
      <c r="L16" s="3">
        <f>ROUND(L$11/8,4)</f>
        <v>-0.0105</v>
      </c>
      <c r="M16" s="3">
        <f>ROUND(M$11/8,4)</f>
        <v>0.0293</v>
      </c>
      <c r="N16" s="3">
        <f t="shared" si="0"/>
        <v>0.1492</v>
      </c>
      <c r="O16" s="235"/>
      <c r="P16" s="181">
        <f t="shared" si="1"/>
        <v>0.1492</v>
      </c>
      <c r="Q16" s="117"/>
      <c r="R16" s="117"/>
      <c r="S16" s="118"/>
      <c r="T16" s="119"/>
      <c r="U16" s="119"/>
      <c r="V16" s="115"/>
    </row>
    <row r="17" spans="1:22" ht="13.5" thickBot="1">
      <c r="A17" s="330"/>
      <c r="B17" s="333"/>
      <c r="C17" s="143" t="s">
        <v>64</v>
      </c>
      <c r="D17" s="191">
        <f>'CNTNR COST'!G15</f>
        <v>0.426</v>
      </c>
      <c r="E17" s="183">
        <v>0</v>
      </c>
      <c r="F17" s="183">
        <f>INPUT!B71</f>
        <v>0.1682</v>
      </c>
      <c r="G17" s="192">
        <f>ROUND($G$11,6)</f>
        <v>0.0192</v>
      </c>
      <c r="H17" s="192">
        <f>ROUND($H$11,6)</f>
        <v>0</v>
      </c>
      <c r="I17" s="183">
        <f t="shared" si="2"/>
        <v>0.6134</v>
      </c>
      <c r="J17" s="183">
        <f t="shared" si="3"/>
        <v>0.02224766839378245</v>
      </c>
      <c r="K17" s="184">
        <f t="shared" si="4"/>
        <v>0.6356</v>
      </c>
      <c r="L17" s="183">
        <f>L$11</f>
        <v>-0.0839</v>
      </c>
      <c r="M17" s="183">
        <f>M$11</f>
        <v>0.2341</v>
      </c>
      <c r="N17" s="183">
        <f t="shared" si="0"/>
        <v>0.7858</v>
      </c>
      <c r="O17" s="236"/>
      <c r="P17" s="185">
        <f t="shared" si="1"/>
        <v>0.7858</v>
      </c>
      <c r="Q17" s="117"/>
      <c r="R17" s="117"/>
      <c r="S17" s="118"/>
      <c r="T17" s="119"/>
      <c r="U17" s="119"/>
      <c r="V17" s="115"/>
    </row>
    <row r="18" spans="3:22" ht="14.25" thickBot="1" thickTop="1">
      <c r="C18" s="113"/>
      <c r="Q18" s="117"/>
      <c r="R18" s="117"/>
      <c r="S18" s="115"/>
      <c r="T18" s="115"/>
      <c r="U18" s="115"/>
      <c r="V18" s="115"/>
    </row>
    <row r="19" spans="1:22" ht="14.25" thickBot="1" thickTop="1">
      <c r="A19" s="334" t="s">
        <v>195</v>
      </c>
      <c r="B19" s="331" t="s">
        <v>194</v>
      </c>
      <c r="C19" s="143" t="s">
        <v>9</v>
      </c>
      <c r="D19" s="189">
        <f>'CNTNR COST'!G17</f>
        <v>1.3925</v>
      </c>
      <c r="E19" s="178">
        <v>0</v>
      </c>
      <c r="F19" s="178">
        <f>+$F$9</f>
        <v>-0.1067</v>
      </c>
      <c r="G19" s="190">
        <f>ROUND($G$11*4,6)</f>
        <v>0.0768</v>
      </c>
      <c r="H19" s="190">
        <f>ROUND($H$11*4,6)</f>
        <v>0</v>
      </c>
      <c r="I19" s="178">
        <f>ROUND(SUM(D19:H19),4)</f>
        <v>1.3626</v>
      </c>
      <c r="J19" s="178">
        <f>(I19/(1-$J$5))-I19</f>
        <v>0.04942072538860098</v>
      </c>
      <c r="K19" s="179">
        <f>ROUND(I19+J19,4)</f>
        <v>1.412</v>
      </c>
      <c r="L19" s="178">
        <f>ROUND(L$11*4,4)</f>
        <v>-0.3356</v>
      </c>
      <c r="M19" s="178">
        <f>ROUND(M$11*4,4)</f>
        <v>0.9364</v>
      </c>
      <c r="N19" s="178">
        <f aca="true" t="shared" si="5" ref="N19:N27">ROUND(SUM(K19:M19),4)</f>
        <v>2.0128</v>
      </c>
      <c r="O19" s="234"/>
      <c r="P19" s="180">
        <f aca="true" t="shared" si="6" ref="P19:P27">N19-O19</f>
        <v>2.0128</v>
      </c>
      <c r="Q19" s="117"/>
      <c r="R19" s="117"/>
      <c r="S19" s="118"/>
      <c r="T19" s="119"/>
      <c r="U19" s="119"/>
      <c r="V19" s="115"/>
    </row>
    <row r="20" spans="1:22" ht="13.5" thickBot="1">
      <c r="A20" s="329"/>
      <c r="B20" s="332"/>
      <c r="C20" s="143" t="s">
        <v>41</v>
      </c>
      <c r="D20" s="188">
        <f>'CNTNR COST'!G18</f>
        <v>0.6962</v>
      </c>
      <c r="E20" s="3">
        <v>0</v>
      </c>
      <c r="F20" s="3">
        <f>+$F$10</f>
        <v>-0.0317</v>
      </c>
      <c r="G20" s="6">
        <f>ROUND($G$11*2,6)</f>
        <v>0.0384</v>
      </c>
      <c r="H20" s="6">
        <f>ROUND($H$11*2,6)</f>
        <v>0</v>
      </c>
      <c r="I20" s="3">
        <f aca="true" t="shared" si="7" ref="I20:I27">ROUND(SUM(D20:H20),4)</f>
        <v>0.7029</v>
      </c>
      <c r="J20" s="3">
        <f aca="true" t="shared" si="8" ref="J20:J27">(I20/(1-$J$5))-I20</f>
        <v>0.025493782383419705</v>
      </c>
      <c r="K20" s="5">
        <f aca="true" t="shared" si="9" ref="K20:K27">ROUND(I20+J20,4)</f>
        <v>0.7284</v>
      </c>
      <c r="L20" s="3">
        <f>ROUND(L$11*2,4)</f>
        <v>-0.1678</v>
      </c>
      <c r="M20" s="3">
        <f>ROUND(M$11*2,4)</f>
        <v>0.4682</v>
      </c>
      <c r="N20" s="3">
        <f t="shared" si="5"/>
        <v>1.0288</v>
      </c>
      <c r="O20" s="235"/>
      <c r="P20" s="181">
        <f t="shared" si="6"/>
        <v>1.0288</v>
      </c>
      <c r="Q20" s="117"/>
      <c r="R20" s="117"/>
      <c r="S20" s="118"/>
      <c r="T20" s="119"/>
      <c r="U20" s="119"/>
      <c r="V20" s="115"/>
    </row>
    <row r="21" spans="1:22" ht="13.5" thickBot="1">
      <c r="A21" s="329"/>
      <c r="B21" s="332"/>
      <c r="C21" s="143" t="s">
        <v>10</v>
      </c>
      <c r="D21" s="188">
        <f>'CNTNR COST'!G19</f>
        <v>0.3481</v>
      </c>
      <c r="E21" s="3">
        <v>0</v>
      </c>
      <c r="F21" s="3">
        <f>+$F$11</f>
        <v>0.0467</v>
      </c>
      <c r="G21" s="6">
        <f>ROUND(COST_UPDATE_ADJ,4)</f>
        <v>0.0192</v>
      </c>
      <c r="H21" s="6">
        <f>Energy_Addon</f>
        <v>0</v>
      </c>
      <c r="I21" s="3">
        <f t="shared" si="7"/>
        <v>0.414</v>
      </c>
      <c r="J21" s="3">
        <f t="shared" si="8"/>
        <v>0.015015544041450779</v>
      </c>
      <c r="K21" s="5">
        <f t="shared" si="9"/>
        <v>0.429</v>
      </c>
      <c r="L21" s="3">
        <f>$L$11</f>
        <v>-0.0839</v>
      </c>
      <c r="M21" s="3">
        <f>$M$11</f>
        <v>0.2341</v>
      </c>
      <c r="N21" s="3">
        <f t="shared" si="5"/>
        <v>0.5792</v>
      </c>
      <c r="O21" s="235"/>
      <c r="P21" s="181">
        <f t="shared" si="6"/>
        <v>0.5792</v>
      </c>
      <c r="Q21" s="117"/>
      <c r="R21" s="117"/>
      <c r="S21" s="118"/>
      <c r="T21" s="119"/>
      <c r="U21" s="119"/>
      <c r="V21" s="115"/>
    </row>
    <row r="22" spans="1:22" ht="13.5" thickBot="1">
      <c r="A22" s="329"/>
      <c r="B22" s="332"/>
      <c r="C22" s="143" t="s">
        <v>11</v>
      </c>
      <c r="D22" s="188">
        <f>'CNTNR COST'!G20</f>
        <v>0.1741</v>
      </c>
      <c r="E22" s="3">
        <v>0</v>
      </c>
      <c r="F22" s="3">
        <f>+$F$12</f>
        <v>0.0633</v>
      </c>
      <c r="G22" s="6">
        <f>ROUND($G$11/2,4)</f>
        <v>0.0096</v>
      </c>
      <c r="H22" s="6">
        <f>ROUND($H$11/2,4)</f>
        <v>0</v>
      </c>
      <c r="I22" s="3">
        <f t="shared" si="7"/>
        <v>0.247</v>
      </c>
      <c r="J22" s="3">
        <f t="shared" si="8"/>
        <v>0.008958549222797929</v>
      </c>
      <c r="K22" s="5">
        <f t="shared" si="9"/>
        <v>0.256</v>
      </c>
      <c r="L22" s="3">
        <f>ROUND(L$11/2,4)</f>
        <v>-0.042</v>
      </c>
      <c r="M22" s="3">
        <f>ROUND(M$11/2,4)</f>
        <v>0.1171</v>
      </c>
      <c r="N22" s="3">
        <f t="shared" si="5"/>
        <v>0.3311</v>
      </c>
      <c r="O22" s="235"/>
      <c r="P22" s="181">
        <f t="shared" si="6"/>
        <v>0.3311</v>
      </c>
      <c r="Q22" s="117"/>
      <c r="R22" s="117"/>
      <c r="S22" s="118"/>
      <c r="T22" s="119"/>
      <c r="U22" s="119"/>
      <c r="V22" s="115"/>
    </row>
    <row r="23" spans="1:22" ht="13.5" thickBot="1">
      <c r="A23" s="329"/>
      <c r="B23" s="332"/>
      <c r="C23" s="143" t="s">
        <v>212</v>
      </c>
      <c r="D23" s="188">
        <f>'CNTNR COST'!G21</f>
        <v>0.1935</v>
      </c>
      <c r="E23" s="3"/>
      <c r="F23" s="3">
        <f>+$F$13</f>
        <v>0</v>
      </c>
      <c r="G23" s="6">
        <f>ROUND($G$11/32*12,4)</f>
        <v>0.0072</v>
      </c>
      <c r="H23" s="6">
        <f>ROUND($H$11/32*12,4)</f>
        <v>0</v>
      </c>
      <c r="I23" s="3">
        <f t="shared" si="7"/>
        <v>0.2007</v>
      </c>
      <c r="J23" s="3">
        <f t="shared" si="8"/>
        <v>0.0072792746113989615</v>
      </c>
      <c r="K23" s="5">
        <f t="shared" si="9"/>
        <v>0.208</v>
      </c>
      <c r="L23" s="3">
        <f>ROUND(L$11/32*12,4)</f>
        <v>-0.0315</v>
      </c>
      <c r="M23" s="3">
        <f>ROUND(M$11/32*12,4)</f>
        <v>0.0878</v>
      </c>
      <c r="N23" s="3">
        <f t="shared" si="5"/>
        <v>0.2643</v>
      </c>
      <c r="O23" s="235"/>
      <c r="P23" s="181"/>
      <c r="Q23" s="117"/>
      <c r="R23" s="117"/>
      <c r="S23" s="118"/>
      <c r="T23" s="119"/>
      <c r="U23" s="119"/>
      <c r="V23" s="115"/>
    </row>
    <row r="24" spans="1:22" ht="13.5" thickBot="1">
      <c r="A24" s="329"/>
      <c r="B24" s="332"/>
      <c r="C24" s="143" t="s">
        <v>42</v>
      </c>
      <c r="D24" s="188">
        <f>'CNTNR COST'!G22</f>
        <v>0.1942</v>
      </c>
      <c r="E24" s="3">
        <v>0</v>
      </c>
      <c r="F24" s="3">
        <f>+$F$14</f>
        <v>0</v>
      </c>
      <c r="G24" s="6">
        <f>ROUND($G$11/32*10,4)</f>
        <v>0.006</v>
      </c>
      <c r="H24" s="6">
        <f>ROUND($H$11/32*10,4)</f>
        <v>0</v>
      </c>
      <c r="I24" s="3">
        <f t="shared" si="7"/>
        <v>0.2002</v>
      </c>
      <c r="J24" s="3">
        <f t="shared" si="8"/>
        <v>0.007261139896373059</v>
      </c>
      <c r="K24" s="5">
        <f t="shared" si="9"/>
        <v>0.2075</v>
      </c>
      <c r="L24" s="3">
        <f>ROUND(L$11/32*10,4)</f>
        <v>-0.0262</v>
      </c>
      <c r="M24" s="3">
        <f>ROUND(M$11/32*10,4)</f>
        <v>0.0732</v>
      </c>
      <c r="N24" s="3">
        <f t="shared" si="5"/>
        <v>0.2545</v>
      </c>
      <c r="O24" s="235"/>
      <c r="P24" s="181">
        <f t="shared" si="6"/>
        <v>0.2545</v>
      </c>
      <c r="Q24" s="117"/>
      <c r="R24" s="117"/>
      <c r="S24" s="118"/>
      <c r="T24" s="119"/>
      <c r="U24" s="119"/>
      <c r="V24" s="115"/>
    </row>
    <row r="25" spans="1:22" ht="13.5" thickBot="1">
      <c r="A25" s="329"/>
      <c r="B25" s="332"/>
      <c r="C25" s="143" t="s">
        <v>43</v>
      </c>
      <c r="D25" s="188">
        <f>'CNTNR COST'!G23</f>
        <v>0.0871</v>
      </c>
      <c r="E25" s="3">
        <v>0</v>
      </c>
      <c r="F25" s="3">
        <f>+$F$15</f>
        <v>0.0247</v>
      </c>
      <c r="G25" s="6">
        <f>ROUND($G$11/4,4)</f>
        <v>0.0048</v>
      </c>
      <c r="H25" s="6">
        <f>ROUND($H$11/4,4)</f>
        <v>0</v>
      </c>
      <c r="I25" s="3">
        <f t="shared" si="7"/>
        <v>0.1166</v>
      </c>
      <c r="J25" s="3">
        <f t="shared" si="8"/>
        <v>0.004229015544041453</v>
      </c>
      <c r="K25" s="5">
        <f t="shared" si="9"/>
        <v>0.1208</v>
      </c>
      <c r="L25" s="3">
        <f>ROUND(L$11/4,4)</f>
        <v>-0.021</v>
      </c>
      <c r="M25" s="3">
        <f>ROUND(M$11/4,4)</f>
        <v>0.0585</v>
      </c>
      <c r="N25" s="3">
        <f t="shared" si="5"/>
        <v>0.1583</v>
      </c>
      <c r="O25" s="235"/>
      <c r="P25" s="181">
        <f t="shared" si="6"/>
        <v>0.1583</v>
      </c>
      <c r="Q25" s="117"/>
      <c r="R25" s="117"/>
      <c r="S25" s="118"/>
      <c r="T25" s="119"/>
      <c r="U25" s="119"/>
      <c r="V25" s="115"/>
    </row>
    <row r="26" spans="1:22" ht="13.5" thickBot="1">
      <c r="A26" s="329"/>
      <c r="B26" s="332"/>
      <c r="C26" s="143" t="s">
        <v>44</v>
      </c>
      <c r="D26" s="188">
        <f>'CNTNR COST'!G24</f>
        <v>0.0821</v>
      </c>
      <c r="E26" s="3">
        <v>0</v>
      </c>
      <c r="F26" s="3">
        <f>+$F$16</f>
        <v>0.0414</v>
      </c>
      <c r="G26" s="6">
        <f>ROUND($G$11/8,4)</f>
        <v>0.0024</v>
      </c>
      <c r="H26" s="6">
        <f>ROUND($H$11/8,4)</f>
        <v>0</v>
      </c>
      <c r="I26" s="3">
        <f t="shared" si="7"/>
        <v>0.1259</v>
      </c>
      <c r="J26" s="3">
        <f t="shared" si="8"/>
        <v>0.004566321243523325</v>
      </c>
      <c r="K26" s="5">
        <f t="shared" si="9"/>
        <v>0.1305</v>
      </c>
      <c r="L26" s="3">
        <f>ROUND(L$11/8,4)</f>
        <v>-0.0105</v>
      </c>
      <c r="M26" s="3">
        <f>ROUND(M$11/8,4)</f>
        <v>0.0293</v>
      </c>
      <c r="N26" s="3">
        <f t="shared" si="5"/>
        <v>0.1493</v>
      </c>
      <c r="O26" s="235"/>
      <c r="P26" s="181">
        <f t="shared" si="6"/>
        <v>0.1493</v>
      </c>
      <c r="Q26" s="117"/>
      <c r="R26" s="117"/>
      <c r="S26" s="118"/>
      <c r="T26" s="119"/>
      <c r="U26" s="119"/>
      <c r="V26" s="115"/>
    </row>
    <row r="27" spans="1:22" ht="13.5" thickBot="1">
      <c r="A27" s="330"/>
      <c r="B27" s="333"/>
      <c r="C27" s="143" t="s">
        <v>64</v>
      </c>
      <c r="D27" s="191">
        <f>'CNTNR COST'!G25</f>
        <v>0.4262</v>
      </c>
      <c r="E27" s="183">
        <v>0</v>
      </c>
      <c r="F27" s="183">
        <f>+$F$17</f>
        <v>0.1682</v>
      </c>
      <c r="G27" s="192">
        <f>ROUND($G$11,6)</f>
        <v>0.0192</v>
      </c>
      <c r="H27" s="192">
        <f>ROUND($H$11,6)</f>
        <v>0</v>
      </c>
      <c r="I27" s="183">
        <f t="shared" si="7"/>
        <v>0.6136</v>
      </c>
      <c r="J27" s="183">
        <f t="shared" si="8"/>
        <v>0.022254922279792755</v>
      </c>
      <c r="K27" s="184">
        <f t="shared" si="9"/>
        <v>0.6359</v>
      </c>
      <c r="L27" s="183">
        <f>L$11</f>
        <v>-0.0839</v>
      </c>
      <c r="M27" s="183">
        <f>M$11</f>
        <v>0.2341</v>
      </c>
      <c r="N27" s="183">
        <f t="shared" si="5"/>
        <v>0.7861</v>
      </c>
      <c r="O27" s="236"/>
      <c r="P27" s="185">
        <f t="shared" si="6"/>
        <v>0.7861</v>
      </c>
      <c r="Q27" s="117"/>
      <c r="R27" s="117"/>
      <c r="S27" s="118"/>
      <c r="T27" s="119"/>
      <c r="U27" s="119"/>
      <c r="V27" s="115"/>
    </row>
    <row r="28" spans="3:22" ht="14.25" thickBot="1" thickTop="1">
      <c r="C28" s="113"/>
      <c r="Q28" s="117"/>
      <c r="R28" s="117"/>
      <c r="S28" s="115"/>
      <c r="T28" s="115"/>
      <c r="U28" s="115"/>
      <c r="V28" s="115"/>
    </row>
    <row r="29" spans="1:22" ht="14.25" thickBot="1" thickTop="1">
      <c r="A29" s="334" t="s">
        <v>196</v>
      </c>
      <c r="B29" s="331" t="s">
        <v>194</v>
      </c>
      <c r="C29" s="143" t="s">
        <v>9</v>
      </c>
      <c r="D29" s="189">
        <f>'CNTNR COST'!G27</f>
        <v>1.3925</v>
      </c>
      <c r="E29" s="178">
        <v>0</v>
      </c>
      <c r="F29" s="178">
        <f>+$F$9</f>
        <v>-0.1067</v>
      </c>
      <c r="G29" s="190">
        <f>ROUND($G$11*4,6)</f>
        <v>0.0768</v>
      </c>
      <c r="H29" s="190">
        <f>ROUND($H$11*4,6)</f>
        <v>0</v>
      </c>
      <c r="I29" s="178">
        <f>ROUND(SUM(D29:H29),4)</f>
        <v>1.3626</v>
      </c>
      <c r="J29" s="178">
        <f>(I29/(1-$J$5))-I29</f>
        <v>0.04942072538860098</v>
      </c>
      <c r="K29" s="179">
        <f>ROUND(I29+J29,4)</f>
        <v>1.412</v>
      </c>
      <c r="L29" s="178">
        <f>ROUND(L$11*4,4)</f>
        <v>-0.3356</v>
      </c>
      <c r="M29" s="178">
        <f>ROUND(M$11*4,4)</f>
        <v>0.9364</v>
      </c>
      <c r="N29" s="178">
        <f aca="true" t="shared" si="10" ref="N29:N37">ROUND(SUM(K29:M29),4)</f>
        <v>2.0128</v>
      </c>
      <c r="O29" s="234"/>
      <c r="P29" s="180">
        <f aca="true" t="shared" si="11" ref="P29:P37">N29-O29</f>
        <v>2.0128</v>
      </c>
      <c r="Q29" s="117"/>
      <c r="R29" s="117"/>
      <c r="S29" s="118"/>
      <c r="T29" s="119"/>
      <c r="U29" s="119"/>
      <c r="V29" s="115"/>
    </row>
    <row r="30" spans="1:22" ht="13.5" thickBot="1">
      <c r="A30" s="329"/>
      <c r="B30" s="332"/>
      <c r="C30" s="143" t="s">
        <v>41</v>
      </c>
      <c r="D30" s="188">
        <f>'CNTNR COST'!G28</f>
        <v>0.6962</v>
      </c>
      <c r="E30" s="3">
        <v>0</v>
      </c>
      <c r="F30" s="3">
        <f>+$F$10</f>
        <v>-0.0317</v>
      </c>
      <c r="G30" s="6">
        <f>ROUND($G$11*2,6)</f>
        <v>0.0384</v>
      </c>
      <c r="H30" s="6">
        <f>ROUND($H$11*2,6)</f>
        <v>0</v>
      </c>
      <c r="I30" s="3">
        <f aca="true" t="shared" si="12" ref="I30:I37">ROUND(SUM(D30:H30),4)</f>
        <v>0.7029</v>
      </c>
      <c r="J30" s="3">
        <f aca="true" t="shared" si="13" ref="J30:J37">(I30/(1-$J$5))-I30</f>
        <v>0.025493782383419705</v>
      </c>
      <c r="K30" s="5">
        <f aca="true" t="shared" si="14" ref="K30:K37">ROUND(I30+J30,4)</f>
        <v>0.7284</v>
      </c>
      <c r="L30" s="3">
        <f>ROUND(L$11*2,4)</f>
        <v>-0.1678</v>
      </c>
      <c r="M30" s="3">
        <f>ROUND(M$11*2,4)</f>
        <v>0.4682</v>
      </c>
      <c r="N30" s="3">
        <f t="shared" si="10"/>
        <v>1.0288</v>
      </c>
      <c r="O30" s="235"/>
      <c r="P30" s="181">
        <f t="shared" si="11"/>
        <v>1.0288</v>
      </c>
      <c r="Q30" s="117"/>
      <c r="R30" s="117"/>
      <c r="S30" s="118"/>
      <c r="T30" s="119"/>
      <c r="U30" s="119"/>
      <c r="V30" s="115"/>
    </row>
    <row r="31" spans="1:22" ht="13.5" thickBot="1">
      <c r="A31" s="329"/>
      <c r="B31" s="332"/>
      <c r="C31" s="143" t="s">
        <v>10</v>
      </c>
      <c r="D31" s="188">
        <f>'CNTNR COST'!G29</f>
        <v>0.3481</v>
      </c>
      <c r="E31" s="3">
        <v>0</v>
      </c>
      <c r="F31" s="3">
        <f>+$F$11</f>
        <v>0.0467</v>
      </c>
      <c r="G31" s="6">
        <f>ROUND(COST_UPDATE_ADJ,4)</f>
        <v>0.0192</v>
      </c>
      <c r="H31" s="6">
        <f>Energy_Addon</f>
        <v>0</v>
      </c>
      <c r="I31" s="3">
        <f t="shared" si="12"/>
        <v>0.414</v>
      </c>
      <c r="J31" s="3">
        <f t="shared" si="13"/>
        <v>0.015015544041450779</v>
      </c>
      <c r="K31" s="5">
        <f t="shared" si="14"/>
        <v>0.429</v>
      </c>
      <c r="L31" s="3">
        <f>$L$11</f>
        <v>-0.0839</v>
      </c>
      <c r="M31" s="3">
        <f>$M$11</f>
        <v>0.2341</v>
      </c>
      <c r="N31" s="3">
        <f t="shared" si="10"/>
        <v>0.5792</v>
      </c>
      <c r="O31" s="235"/>
      <c r="P31" s="181">
        <f t="shared" si="11"/>
        <v>0.5792</v>
      </c>
      <c r="Q31" s="117"/>
      <c r="R31" s="117"/>
      <c r="S31" s="118"/>
      <c r="T31" s="119"/>
      <c r="U31" s="119"/>
      <c r="V31" s="115"/>
    </row>
    <row r="32" spans="1:22" ht="13.5" thickBot="1">
      <c r="A32" s="329"/>
      <c r="B32" s="332"/>
      <c r="C32" s="143" t="s">
        <v>11</v>
      </c>
      <c r="D32" s="188">
        <f>'CNTNR COST'!G30</f>
        <v>0.1741</v>
      </c>
      <c r="E32" s="3">
        <v>0</v>
      </c>
      <c r="F32" s="3">
        <f>+$F$12</f>
        <v>0.0633</v>
      </c>
      <c r="G32" s="6">
        <f>ROUND($G$11/2,4)</f>
        <v>0.0096</v>
      </c>
      <c r="H32" s="6">
        <f>ROUND($H$11/2,4)</f>
        <v>0</v>
      </c>
      <c r="I32" s="3">
        <f t="shared" si="12"/>
        <v>0.247</v>
      </c>
      <c r="J32" s="3">
        <f t="shared" si="13"/>
        <v>0.008958549222797929</v>
      </c>
      <c r="K32" s="5">
        <f t="shared" si="14"/>
        <v>0.256</v>
      </c>
      <c r="L32" s="3">
        <f>ROUND(L$11/2,4)</f>
        <v>-0.042</v>
      </c>
      <c r="M32" s="3">
        <f>ROUND(M$11/2,4)</f>
        <v>0.1171</v>
      </c>
      <c r="N32" s="3">
        <f t="shared" si="10"/>
        <v>0.3311</v>
      </c>
      <c r="O32" s="235"/>
      <c r="P32" s="181">
        <f t="shared" si="11"/>
        <v>0.3311</v>
      </c>
      <c r="Q32" s="117"/>
      <c r="R32" s="117"/>
      <c r="S32" s="118"/>
      <c r="T32" s="119"/>
      <c r="U32" s="119"/>
      <c r="V32" s="115"/>
    </row>
    <row r="33" spans="1:22" ht="13.5" thickBot="1">
      <c r="A33" s="329"/>
      <c r="B33" s="332"/>
      <c r="C33" s="143" t="s">
        <v>212</v>
      </c>
      <c r="D33" s="188">
        <f>'CNTNR COST'!G31</f>
        <v>0.1935</v>
      </c>
      <c r="E33" s="3"/>
      <c r="F33" s="3">
        <f>+$F$13</f>
        <v>0</v>
      </c>
      <c r="G33" s="6">
        <f>ROUND($G$11/32*12,4)</f>
        <v>0.0072</v>
      </c>
      <c r="H33" s="6">
        <f>ROUND($H$11/32*12,4)</f>
        <v>0</v>
      </c>
      <c r="I33" s="3">
        <f t="shared" si="12"/>
        <v>0.2007</v>
      </c>
      <c r="J33" s="3">
        <f t="shared" si="13"/>
        <v>0.0072792746113989615</v>
      </c>
      <c r="K33" s="5">
        <f t="shared" si="14"/>
        <v>0.208</v>
      </c>
      <c r="L33" s="3">
        <f>ROUND(L$11/32*12,4)</f>
        <v>-0.0315</v>
      </c>
      <c r="M33" s="3">
        <f>ROUND(M$11/32*12,4)</f>
        <v>0.0878</v>
      </c>
      <c r="N33" s="3">
        <f t="shared" si="10"/>
        <v>0.2643</v>
      </c>
      <c r="O33" s="235"/>
      <c r="P33" s="181"/>
      <c r="Q33" s="117"/>
      <c r="R33" s="117"/>
      <c r="S33" s="118"/>
      <c r="T33" s="119"/>
      <c r="U33" s="119"/>
      <c r="V33" s="115"/>
    </row>
    <row r="34" spans="1:22" ht="13.5" thickBot="1">
      <c r="A34" s="329"/>
      <c r="B34" s="332"/>
      <c r="C34" s="143" t="s">
        <v>42</v>
      </c>
      <c r="D34" s="188">
        <f>'CNTNR COST'!G32</f>
        <v>0.1942</v>
      </c>
      <c r="E34" s="3">
        <v>0</v>
      </c>
      <c r="F34" s="3">
        <f>+$F$14</f>
        <v>0</v>
      </c>
      <c r="G34" s="6">
        <f>ROUND($G$11/32*10,4)</f>
        <v>0.006</v>
      </c>
      <c r="H34" s="6">
        <f>ROUND($H$11/32*10,4)</f>
        <v>0</v>
      </c>
      <c r="I34" s="3">
        <f t="shared" si="12"/>
        <v>0.2002</v>
      </c>
      <c r="J34" s="3">
        <f t="shared" si="13"/>
        <v>0.007261139896373059</v>
      </c>
      <c r="K34" s="5">
        <f t="shared" si="14"/>
        <v>0.2075</v>
      </c>
      <c r="L34" s="3">
        <f>ROUND(L$11/32*10,4)</f>
        <v>-0.0262</v>
      </c>
      <c r="M34" s="3">
        <f>ROUND(M$11/32*10,4)</f>
        <v>0.0732</v>
      </c>
      <c r="N34" s="3">
        <f t="shared" si="10"/>
        <v>0.2545</v>
      </c>
      <c r="O34" s="235"/>
      <c r="P34" s="181">
        <f t="shared" si="11"/>
        <v>0.2545</v>
      </c>
      <c r="Q34" s="117"/>
      <c r="R34" s="117"/>
      <c r="S34" s="118"/>
      <c r="T34" s="119"/>
      <c r="U34" s="119"/>
      <c r="V34" s="115"/>
    </row>
    <row r="35" spans="1:22" ht="13.5" thickBot="1">
      <c r="A35" s="329"/>
      <c r="B35" s="332"/>
      <c r="C35" s="143" t="s">
        <v>43</v>
      </c>
      <c r="D35" s="188">
        <f>'CNTNR COST'!G33</f>
        <v>0.0871</v>
      </c>
      <c r="E35" s="3">
        <v>0</v>
      </c>
      <c r="F35" s="3">
        <f>+$F$15</f>
        <v>0.0247</v>
      </c>
      <c r="G35" s="6">
        <f>ROUND($G$11/4,4)</f>
        <v>0.0048</v>
      </c>
      <c r="H35" s="6">
        <f>ROUND($H$11/4,4)</f>
        <v>0</v>
      </c>
      <c r="I35" s="3">
        <f t="shared" si="12"/>
        <v>0.1166</v>
      </c>
      <c r="J35" s="3">
        <f t="shared" si="13"/>
        <v>0.004229015544041453</v>
      </c>
      <c r="K35" s="5">
        <f t="shared" si="14"/>
        <v>0.1208</v>
      </c>
      <c r="L35" s="3">
        <f>ROUND(L$11/4,4)</f>
        <v>-0.021</v>
      </c>
      <c r="M35" s="3">
        <f>ROUND(M$11/4,4)</f>
        <v>0.0585</v>
      </c>
      <c r="N35" s="3">
        <f t="shared" si="10"/>
        <v>0.1583</v>
      </c>
      <c r="O35" s="235"/>
      <c r="P35" s="181">
        <f t="shared" si="11"/>
        <v>0.1583</v>
      </c>
      <c r="Q35" s="117"/>
      <c r="R35" s="117"/>
      <c r="S35" s="118"/>
      <c r="T35" s="119"/>
      <c r="U35" s="119"/>
      <c r="V35" s="115"/>
    </row>
    <row r="36" spans="1:22" ht="13.5" thickBot="1">
      <c r="A36" s="329"/>
      <c r="B36" s="332"/>
      <c r="C36" s="143" t="s">
        <v>44</v>
      </c>
      <c r="D36" s="188">
        <f>'CNTNR COST'!G34</f>
        <v>0.0821</v>
      </c>
      <c r="E36" s="3">
        <v>0</v>
      </c>
      <c r="F36" s="3">
        <f>+$F$16</f>
        <v>0.0414</v>
      </c>
      <c r="G36" s="6">
        <f>ROUND($G$11/8,4)</f>
        <v>0.0024</v>
      </c>
      <c r="H36" s="6">
        <f>ROUND($H$11/8,4)</f>
        <v>0</v>
      </c>
      <c r="I36" s="3">
        <f t="shared" si="12"/>
        <v>0.1259</v>
      </c>
      <c r="J36" s="3">
        <f t="shared" si="13"/>
        <v>0.004566321243523325</v>
      </c>
      <c r="K36" s="5">
        <f t="shared" si="14"/>
        <v>0.1305</v>
      </c>
      <c r="L36" s="3">
        <f>ROUND(L$11/8,4)</f>
        <v>-0.0105</v>
      </c>
      <c r="M36" s="3">
        <f>ROUND(M$11/8,4)</f>
        <v>0.0293</v>
      </c>
      <c r="N36" s="3">
        <f t="shared" si="10"/>
        <v>0.1493</v>
      </c>
      <c r="O36" s="235"/>
      <c r="P36" s="181">
        <f t="shared" si="11"/>
        <v>0.1493</v>
      </c>
      <c r="Q36" s="117"/>
      <c r="R36" s="117"/>
      <c r="S36" s="118"/>
      <c r="T36" s="119"/>
      <c r="U36" s="119"/>
      <c r="V36" s="115"/>
    </row>
    <row r="37" spans="1:22" ht="13.5" thickBot="1">
      <c r="A37" s="330"/>
      <c r="B37" s="333"/>
      <c r="C37" s="143" t="s">
        <v>64</v>
      </c>
      <c r="D37" s="191">
        <f>'CNTNR COST'!G35</f>
        <v>0.4262</v>
      </c>
      <c r="E37" s="183">
        <v>0</v>
      </c>
      <c r="F37" s="183">
        <f>+$F$17</f>
        <v>0.1682</v>
      </c>
      <c r="G37" s="192">
        <f>ROUND($G$11,6)</f>
        <v>0.0192</v>
      </c>
      <c r="H37" s="192">
        <f>ROUND($H$11,6)</f>
        <v>0</v>
      </c>
      <c r="I37" s="183">
        <f t="shared" si="12"/>
        <v>0.6136</v>
      </c>
      <c r="J37" s="183">
        <f t="shared" si="13"/>
        <v>0.022254922279792755</v>
      </c>
      <c r="K37" s="184">
        <f t="shared" si="14"/>
        <v>0.6359</v>
      </c>
      <c r="L37" s="183">
        <f>L$11</f>
        <v>-0.0839</v>
      </c>
      <c r="M37" s="183">
        <f>M$11</f>
        <v>0.2341</v>
      </c>
      <c r="N37" s="183">
        <f t="shared" si="10"/>
        <v>0.7861</v>
      </c>
      <c r="O37" s="236"/>
      <c r="P37" s="185">
        <f t="shared" si="11"/>
        <v>0.7861</v>
      </c>
      <c r="Q37" s="117"/>
      <c r="R37" s="117"/>
      <c r="S37" s="118"/>
      <c r="T37" s="119"/>
      <c r="U37" s="119"/>
      <c r="V37" s="115"/>
    </row>
    <row r="38" spans="3:22" ht="14.25" thickBot="1" thickTop="1">
      <c r="C38" s="113"/>
      <c r="Q38" s="117"/>
      <c r="R38" s="117"/>
      <c r="S38" s="115"/>
      <c r="T38" s="115"/>
      <c r="U38" s="115"/>
      <c r="V38" s="115"/>
    </row>
    <row r="39" spans="1:22" ht="14.25" thickBot="1" thickTop="1">
      <c r="A39" s="334" t="s">
        <v>197</v>
      </c>
      <c r="B39" s="331" t="s">
        <v>194</v>
      </c>
      <c r="C39" s="143" t="s">
        <v>9</v>
      </c>
      <c r="D39" s="189">
        <f>'CNTNR COST'!G37</f>
        <v>1.3925</v>
      </c>
      <c r="E39" s="178">
        <v>0</v>
      </c>
      <c r="F39" s="178">
        <f>+$F$9</f>
        <v>-0.1067</v>
      </c>
      <c r="G39" s="190">
        <f>ROUND($G$11*4,6)</f>
        <v>0.0768</v>
      </c>
      <c r="H39" s="190">
        <f>ROUND($H$11*4,6)</f>
        <v>0</v>
      </c>
      <c r="I39" s="178">
        <f>ROUND(SUM(D39:H39),4)</f>
        <v>1.3626</v>
      </c>
      <c r="J39" s="178">
        <f>(I39/(1-$J$5))-I39</f>
        <v>0.04942072538860098</v>
      </c>
      <c r="K39" s="179">
        <f>ROUND(I39+J39,4)</f>
        <v>1.412</v>
      </c>
      <c r="L39" s="178">
        <f>ROUND(L$11*4,4)</f>
        <v>-0.3356</v>
      </c>
      <c r="M39" s="178">
        <f>ROUND(M$11*4,4)</f>
        <v>0.9364</v>
      </c>
      <c r="N39" s="178">
        <f aca="true" t="shared" si="15" ref="N39:N47">ROUND(SUM(K39:M39),4)</f>
        <v>2.0128</v>
      </c>
      <c r="O39" s="234"/>
      <c r="P39" s="180">
        <f>O39-N39</f>
        <v>-2.0128</v>
      </c>
      <c r="Q39" s="117"/>
      <c r="R39" s="117"/>
      <c r="S39" s="118"/>
      <c r="T39" s="119"/>
      <c r="U39" s="119"/>
      <c r="V39" s="115"/>
    </row>
    <row r="40" spans="1:22" ht="13.5" thickBot="1">
      <c r="A40" s="329"/>
      <c r="B40" s="332"/>
      <c r="C40" s="143" t="s">
        <v>41</v>
      </c>
      <c r="D40" s="188">
        <f>'CNTNR COST'!G38</f>
        <v>0.6962</v>
      </c>
      <c r="E40" s="3">
        <v>0</v>
      </c>
      <c r="F40" s="3">
        <f>+$F$10</f>
        <v>-0.0317</v>
      </c>
      <c r="G40" s="6">
        <f>ROUND($G$11*2,6)</f>
        <v>0.0384</v>
      </c>
      <c r="H40" s="6">
        <f>ROUND($H$11*2,6)</f>
        <v>0</v>
      </c>
      <c r="I40" s="3">
        <f aca="true" t="shared" si="16" ref="I40:I47">ROUND(SUM(D40:H40),4)</f>
        <v>0.7029</v>
      </c>
      <c r="J40" s="3">
        <f aca="true" t="shared" si="17" ref="J40:J47">(I40/(1-$J$5))-I40</f>
        <v>0.025493782383419705</v>
      </c>
      <c r="K40" s="5">
        <f aca="true" t="shared" si="18" ref="K40:K47">ROUND(I40+J40,4)</f>
        <v>0.7284</v>
      </c>
      <c r="L40" s="3">
        <f>ROUND(L$11*2,4)</f>
        <v>-0.1678</v>
      </c>
      <c r="M40" s="3">
        <f>ROUND(M$11*2,4)</f>
        <v>0.4682</v>
      </c>
      <c r="N40" s="3">
        <f t="shared" si="15"/>
        <v>1.0288</v>
      </c>
      <c r="O40" s="235"/>
      <c r="P40" s="181">
        <f aca="true" t="shared" si="19" ref="P40:P47">O40-N40</f>
        <v>-1.0288</v>
      </c>
      <c r="Q40" s="117"/>
      <c r="R40" s="117"/>
      <c r="S40" s="118"/>
      <c r="T40" s="119"/>
      <c r="U40" s="119"/>
      <c r="V40" s="115"/>
    </row>
    <row r="41" spans="1:22" ht="13.5" thickBot="1">
      <c r="A41" s="329"/>
      <c r="B41" s="332"/>
      <c r="C41" s="143" t="s">
        <v>10</v>
      </c>
      <c r="D41" s="188">
        <f>'CNTNR COST'!G39</f>
        <v>0.3481</v>
      </c>
      <c r="E41" s="3">
        <v>0</v>
      </c>
      <c r="F41" s="3">
        <f>+$F$11</f>
        <v>0.0467</v>
      </c>
      <c r="G41" s="6">
        <f>ROUND(COST_UPDATE_ADJ,4)</f>
        <v>0.0192</v>
      </c>
      <c r="H41" s="6">
        <f>Energy_Addon</f>
        <v>0</v>
      </c>
      <c r="I41" s="3">
        <f t="shared" si="16"/>
        <v>0.414</v>
      </c>
      <c r="J41" s="3">
        <f t="shared" si="17"/>
        <v>0.015015544041450779</v>
      </c>
      <c r="K41" s="5">
        <f t="shared" si="18"/>
        <v>0.429</v>
      </c>
      <c r="L41" s="3">
        <f>$L$11</f>
        <v>-0.0839</v>
      </c>
      <c r="M41" s="3">
        <f>$M$11</f>
        <v>0.2341</v>
      </c>
      <c r="N41" s="3">
        <f t="shared" si="15"/>
        <v>0.5792</v>
      </c>
      <c r="O41" s="235"/>
      <c r="P41" s="181">
        <f t="shared" si="19"/>
        <v>-0.5792</v>
      </c>
      <c r="Q41" s="117"/>
      <c r="R41" s="117"/>
      <c r="S41" s="118"/>
      <c r="T41" s="119"/>
      <c r="U41" s="119"/>
      <c r="V41" s="115"/>
    </row>
    <row r="42" spans="1:22" ht="13.5" thickBot="1">
      <c r="A42" s="329"/>
      <c r="B42" s="332"/>
      <c r="C42" s="143" t="s">
        <v>11</v>
      </c>
      <c r="D42" s="188">
        <f>'CNTNR COST'!G40</f>
        <v>0.1741</v>
      </c>
      <c r="E42" s="3">
        <v>0</v>
      </c>
      <c r="F42" s="3">
        <f>+$F$12</f>
        <v>0.0633</v>
      </c>
      <c r="G42" s="6">
        <f>ROUND($G$11/2,4)</f>
        <v>0.0096</v>
      </c>
      <c r="H42" s="6">
        <f>ROUND($H$11/2,4)</f>
        <v>0</v>
      </c>
      <c r="I42" s="3">
        <f t="shared" si="16"/>
        <v>0.247</v>
      </c>
      <c r="J42" s="3">
        <f t="shared" si="17"/>
        <v>0.008958549222797929</v>
      </c>
      <c r="K42" s="5">
        <f t="shared" si="18"/>
        <v>0.256</v>
      </c>
      <c r="L42" s="3">
        <f>ROUND(L$11/2,4)</f>
        <v>-0.042</v>
      </c>
      <c r="M42" s="3">
        <f>ROUND(M$11/2,4)</f>
        <v>0.1171</v>
      </c>
      <c r="N42" s="3">
        <f t="shared" si="15"/>
        <v>0.3311</v>
      </c>
      <c r="O42" s="235"/>
      <c r="P42" s="181">
        <f t="shared" si="19"/>
        <v>-0.3311</v>
      </c>
      <c r="Q42" s="117"/>
      <c r="R42" s="117"/>
      <c r="S42" s="118"/>
      <c r="T42" s="119"/>
      <c r="U42" s="119"/>
      <c r="V42" s="115"/>
    </row>
    <row r="43" spans="1:22" ht="13.5" thickBot="1">
      <c r="A43" s="329"/>
      <c r="B43" s="332"/>
      <c r="C43" s="143" t="s">
        <v>212</v>
      </c>
      <c r="D43" s="188">
        <f>'CNTNR COST'!G41</f>
        <v>0.1935</v>
      </c>
      <c r="E43" s="3"/>
      <c r="F43" s="3">
        <f>+$F$13</f>
        <v>0</v>
      </c>
      <c r="G43" s="6">
        <f>ROUND($G$11/32*12,4)</f>
        <v>0.0072</v>
      </c>
      <c r="H43" s="6">
        <f>ROUND($H$11/32*12,4)</f>
        <v>0</v>
      </c>
      <c r="I43" s="3">
        <f t="shared" si="16"/>
        <v>0.2007</v>
      </c>
      <c r="J43" s="3">
        <f t="shared" si="17"/>
        <v>0.0072792746113989615</v>
      </c>
      <c r="K43" s="5">
        <f t="shared" si="18"/>
        <v>0.208</v>
      </c>
      <c r="L43" s="3">
        <f>ROUND(L$11/32*12,4)</f>
        <v>-0.0315</v>
      </c>
      <c r="M43" s="3">
        <f>ROUND(M$11/32*12,4)</f>
        <v>0.0878</v>
      </c>
      <c r="N43" s="3">
        <f t="shared" si="15"/>
        <v>0.2643</v>
      </c>
      <c r="O43" s="235"/>
      <c r="P43" s="181"/>
      <c r="Q43" s="117"/>
      <c r="R43" s="117"/>
      <c r="S43" s="118"/>
      <c r="T43" s="119"/>
      <c r="U43" s="119"/>
      <c r="V43" s="115"/>
    </row>
    <row r="44" spans="1:22" ht="13.5" thickBot="1">
      <c r="A44" s="329"/>
      <c r="B44" s="332"/>
      <c r="C44" s="143" t="s">
        <v>42</v>
      </c>
      <c r="D44" s="188">
        <f>'CNTNR COST'!G42</f>
        <v>0.1942</v>
      </c>
      <c r="E44" s="3">
        <v>0</v>
      </c>
      <c r="F44" s="3">
        <f>+$F$14</f>
        <v>0</v>
      </c>
      <c r="G44" s="6">
        <f>ROUND($G$11/32*10,4)</f>
        <v>0.006</v>
      </c>
      <c r="H44" s="6">
        <f>ROUND($H$11/32*10,4)</f>
        <v>0</v>
      </c>
      <c r="I44" s="3">
        <f t="shared" si="16"/>
        <v>0.2002</v>
      </c>
      <c r="J44" s="3">
        <f t="shared" si="17"/>
        <v>0.007261139896373059</v>
      </c>
      <c r="K44" s="5">
        <f t="shared" si="18"/>
        <v>0.2075</v>
      </c>
      <c r="L44" s="3">
        <f>ROUND(L$11/32*10,4)</f>
        <v>-0.0262</v>
      </c>
      <c r="M44" s="3">
        <f>ROUND(M$11/32*10,4)</f>
        <v>0.0732</v>
      </c>
      <c r="N44" s="3">
        <f t="shared" si="15"/>
        <v>0.2545</v>
      </c>
      <c r="O44" s="235"/>
      <c r="P44" s="181">
        <f t="shared" si="19"/>
        <v>-0.2545</v>
      </c>
      <c r="Q44" s="117"/>
      <c r="R44" s="117"/>
      <c r="S44" s="118"/>
      <c r="T44" s="119"/>
      <c r="U44" s="119"/>
      <c r="V44" s="115"/>
    </row>
    <row r="45" spans="1:22" ht="13.5" thickBot="1">
      <c r="A45" s="329"/>
      <c r="B45" s="332"/>
      <c r="C45" s="143" t="s">
        <v>43</v>
      </c>
      <c r="D45" s="188">
        <f>'CNTNR COST'!G43</f>
        <v>0.0871</v>
      </c>
      <c r="E45" s="3">
        <v>0</v>
      </c>
      <c r="F45" s="3">
        <f>+$F$15</f>
        <v>0.0247</v>
      </c>
      <c r="G45" s="6">
        <f>ROUND($G$11/4,4)</f>
        <v>0.0048</v>
      </c>
      <c r="H45" s="6">
        <f>ROUND($H$11/4,4)</f>
        <v>0</v>
      </c>
      <c r="I45" s="3">
        <f t="shared" si="16"/>
        <v>0.1166</v>
      </c>
      <c r="J45" s="3">
        <f t="shared" si="17"/>
        <v>0.004229015544041453</v>
      </c>
      <c r="K45" s="5">
        <f t="shared" si="18"/>
        <v>0.1208</v>
      </c>
      <c r="L45" s="3">
        <f>ROUND(L$11/4,4)</f>
        <v>-0.021</v>
      </c>
      <c r="M45" s="3">
        <f>ROUND(M$11/4,4)</f>
        <v>0.0585</v>
      </c>
      <c r="N45" s="3">
        <f t="shared" si="15"/>
        <v>0.1583</v>
      </c>
      <c r="O45" s="235"/>
      <c r="P45" s="181">
        <f t="shared" si="19"/>
        <v>-0.1583</v>
      </c>
      <c r="Q45" s="117"/>
      <c r="R45" s="117"/>
      <c r="S45" s="118"/>
      <c r="T45" s="119"/>
      <c r="U45" s="119"/>
      <c r="V45" s="115"/>
    </row>
    <row r="46" spans="1:22" ht="13.5" thickBot="1">
      <c r="A46" s="329"/>
      <c r="B46" s="332"/>
      <c r="C46" s="143" t="s">
        <v>44</v>
      </c>
      <c r="D46" s="188">
        <f>'CNTNR COST'!G44</f>
        <v>0.0821</v>
      </c>
      <c r="E46" s="3">
        <v>0</v>
      </c>
      <c r="F46" s="3">
        <f>+$F$16</f>
        <v>0.0414</v>
      </c>
      <c r="G46" s="6">
        <f>ROUND($G$11/8,4)</f>
        <v>0.0024</v>
      </c>
      <c r="H46" s="6">
        <f>ROUND($H$11/8,4)</f>
        <v>0</v>
      </c>
      <c r="I46" s="3">
        <f t="shared" si="16"/>
        <v>0.1259</v>
      </c>
      <c r="J46" s="3">
        <f t="shared" si="17"/>
        <v>0.004566321243523325</v>
      </c>
      <c r="K46" s="5">
        <f t="shared" si="18"/>
        <v>0.1305</v>
      </c>
      <c r="L46" s="3">
        <f>ROUND(L$11/8,4)</f>
        <v>-0.0105</v>
      </c>
      <c r="M46" s="3">
        <f>ROUND(M$11/8,4)</f>
        <v>0.0293</v>
      </c>
      <c r="N46" s="3">
        <f t="shared" si="15"/>
        <v>0.1493</v>
      </c>
      <c r="O46" s="235"/>
      <c r="P46" s="181">
        <f t="shared" si="19"/>
        <v>-0.1493</v>
      </c>
      <c r="Q46" s="117"/>
      <c r="R46" s="117"/>
      <c r="S46" s="118"/>
      <c r="T46" s="119"/>
      <c r="U46" s="119"/>
      <c r="V46" s="115"/>
    </row>
    <row r="47" spans="1:22" ht="13.5" thickBot="1">
      <c r="A47" s="330"/>
      <c r="B47" s="333"/>
      <c r="C47" s="143" t="s">
        <v>64</v>
      </c>
      <c r="D47" s="191">
        <f>'CNTNR COST'!G45</f>
        <v>0.4262</v>
      </c>
      <c r="E47" s="183">
        <v>0</v>
      </c>
      <c r="F47" s="183">
        <f>+$F$17</f>
        <v>0.1682</v>
      </c>
      <c r="G47" s="192">
        <f>ROUND($G$11,6)</f>
        <v>0.0192</v>
      </c>
      <c r="H47" s="192">
        <f>ROUND($H$11,6)</f>
        <v>0</v>
      </c>
      <c r="I47" s="183">
        <f t="shared" si="16"/>
        <v>0.6136</v>
      </c>
      <c r="J47" s="183">
        <f t="shared" si="17"/>
        <v>0.022254922279792755</v>
      </c>
      <c r="K47" s="184">
        <f t="shared" si="18"/>
        <v>0.6359</v>
      </c>
      <c r="L47" s="183">
        <f>L$11</f>
        <v>-0.0839</v>
      </c>
      <c r="M47" s="183">
        <f>M$11</f>
        <v>0.2341</v>
      </c>
      <c r="N47" s="183">
        <f t="shared" si="15"/>
        <v>0.7861</v>
      </c>
      <c r="O47" s="236"/>
      <c r="P47" s="185">
        <f t="shared" si="19"/>
        <v>-0.7861</v>
      </c>
      <c r="Q47" s="117"/>
      <c r="R47" s="117"/>
      <c r="S47" s="118"/>
      <c r="T47" s="119"/>
      <c r="U47" s="119"/>
      <c r="V47" s="115"/>
    </row>
    <row r="48" spans="3:22" ht="14.25" thickBot="1" thickTop="1">
      <c r="C48" s="113"/>
      <c r="Q48" s="117"/>
      <c r="R48" s="117"/>
      <c r="S48" s="115"/>
      <c r="T48" s="115"/>
      <c r="U48" s="115"/>
      <c r="V48" s="115"/>
    </row>
    <row r="49" spans="1:22" ht="14.25" thickBot="1" thickTop="1">
      <c r="A49" s="334" t="s">
        <v>193</v>
      </c>
      <c r="B49" s="331" t="s">
        <v>15</v>
      </c>
      <c r="C49" s="143" t="s">
        <v>9</v>
      </c>
      <c r="D49" s="189">
        <f>'CNTNR COST'!G47</f>
        <v>1.3908</v>
      </c>
      <c r="E49" s="178">
        <v>0</v>
      </c>
      <c r="F49" s="178">
        <f>+$F$9</f>
        <v>-0.1067</v>
      </c>
      <c r="G49" s="190">
        <f>ROUND($G$11*4,6)</f>
        <v>0.0768</v>
      </c>
      <c r="H49" s="190">
        <f>ROUND($H$11*4,6)</f>
        <v>0</v>
      </c>
      <c r="I49" s="178">
        <f>ROUND(SUM(D49:H49),4)</f>
        <v>1.3609</v>
      </c>
      <c r="J49" s="178">
        <f>(I49/(1-$J$5))-I49</f>
        <v>0.04935906735751305</v>
      </c>
      <c r="K49" s="179">
        <f>ROUND(I49+J49,4)</f>
        <v>1.4103</v>
      </c>
      <c r="L49" s="178">
        <f>ROUND(L$11*4,4)</f>
        <v>-0.3356</v>
      </c>
      <c r="M49" s="178">
        <f>ROUND(M$11*4,4)</f>
        <v>0.9364</v>
      </c>
      <c r="N49" s="178">
        <f aca="true" t="shared" si="20" ref="N49:N57">ROUND(SUM(K49:M49),4)</f>
        <v>2.0111</v>
      </c>
      <c r="O49" s="234"/>
      <c r="P49" s="180">
        <f aca="true" t="shared" si="21" ref="P49:P57">N49-O49</f>
        <v>2.0111</v>
      </c>
      <c r="Q49" s="117"/>
      <c r="R49" s="117"/>
      <c r="S49" s="118"/>
      <c r="T49" s="119"/>
      <c r="U49" s="119"/>
      <c r="V49" s="115"/>
    </row>
    <row r="50" spans="1:22" ht="13.5" thickBot="1">
      <c r="A50" s="329"/>
      <c r="B50" s="332"/>
      <c r="C50" s="143" t="s">
        <v>41</v>
      </c>
      <c r="D50" s="188">
        <f>'CNTNR COST'!G48</f>
        <v>0.6954</v>
      </c>
      <c r="E50" s="3">
        <v>0</v>
      </c>
      <c r="F50" s="3">
        <f>+$F$10</f>
        <v>-0.0317</v>
      </c>
      <c r="G50" s="6">
        <f>ROUND($G$11*2,6)</f>
        <v>0.0384</v>
      </c>
      <c r="H50" s="6">
        <f>ROUND($H$11*2,6)</f>
        <v>0</v>
      </c>
      <c r="I50" s="3">
        <f aca="true" t="shared" si="22" ref="I50:I57">ROUND(SUM(D50:H50),4)</f>
        <v>0.7021</v>
      </c>
      <c r="J50" s="3">
        <f aca="true" t="shared" si="23" ref="J50:J57">(I50/(1-$J$5))-I50</f>
        <v>0.02546476683937826</v>
      </c>
      <c r="K50" s="5">
        <f aca="true" t="shared" si="24" ref="K50:K57">ROUND(I50+J50,4)</f>
        <v>0.7276</v>
      </c>
      <c r="L50" s="3">
        <f>ROUND(L$11*2,4)</f>
        <v>-0.1678</v>
      </c>
      <c r="M50" s="3">
        <f>ROUND(M$11*2,4)</f>
        <v>0.4682</v>
      </c>
      <c r="N50" s="3">
        <f t="shared" si="20"/>
        <v>1.028</v>
      </c>
      <c r="O50" s="235"/>
      <c r="P50" s="181">
        <f t="shared" si="21"/>
        <v>1.028</v>
      </c>
      <c r="Q50" s="117"/>
      <c r="R50" s="117"/>
      <c r="S50" s="118"/>
      <c r="T50" s="119"/>
      <c r="U50" s="119"/>
      <c r="V50" s="115"/>
    </row>
    <row r="51" spans="1:22" ht="13.5" thickBot="1">
      <c r="A51" s="329"/>
      <c r="B51" s="332"/>
      <c r="C51" s="143" t="s">
        <v>10</v>
      </c>
      <c r="D51" s="188">
        <f>'CNTNR COST'!G49</f>
        <v>0.3477</v>
      </c>
      <c r="E51" s="3">
        <v>0</v>
      </c>
      <c r="F51" s="3">
        <f>+$F$11</f>
        <v>0.0467</v>
      </c>
      <c r="G51" s="6">
        <f>ROUND(COST_UPDATE_ADJ,4)</f>
        <v>0.0192</v>
      </c>
      <c r="H51" s="6">
        <f>Energy_Addon</f>
        <v>0</v>
      </c>
      <c r="I51" s="3">
        <f t="shared" si="22"/>
        <v>0.4136</v>
      </c>
      <c r="J51" s="3">
        <f t="shared" si="23"/>
        <v>0.015001036269430057</v>
      </c>
      <c r="K51" s="5">
        <f t="shared" si="24"/>
        <v>0.4286</v>
      </c>
      <c r="L51" s="3">
        <f>$L$11</f>
        <v>-0.0839</v>
      </c>
      <c r="M51" s="3">
        <f>$M$11</f>
        <v>0.2341</v>
      </c>
      <c r="N51" s="3">
        <f t="shared" si="20"/>
        <v>0.5788</v>
      </c>
      <c r="O51" s="235"/>
      <c r="P51" s="181">
        <f t="shared" si="21"/>
        <v>0.5788</v>
      </c>
      <c r="Q51" s="117"/>
      <c r="R51" s="117"/>
      <c r="S51" s="118"/>
      <c r="T51" s="119"/>
      <c r="U51" s="119"/>
      <c r="V51" s="115"/>
    </row>
    <row r="52" spans="1:22" ht="13.5" thickBot="1">
      <c r="A52" s="329"/>
      <c r="B52" s="332"/>
      <c r="C52" s="143" t="s">
        <v>11</v>
      </c>
      <c r="D52" s="188">
        <f>'CNTNR COST'!G50</f>
        <v>0.1739</v>
      </c>
      <c r="E52" s="3">
        <v>0</v>
      </c>
      <c r="F52" s="3">
        <f>+$F$12</f>
        <v>0.0633</v>
      </c>
      <c r="G52" s="6">
        <f>ROUND($G$11/2,4)</f>
        <v>0.0096</v>
      </c>
      <c r="H52" s="6">
        <f>ROUND($H$11/2,4)</f>
        <v>0</v>
      </c>
      <c r="I52" s="3">
        <f t="shared" si="22"/>
        <v>0.2468</v>
      </c>
      <c r="J52" s="3">
        <f t="shared" si="23"/>
        <v>0.008951295336787596</v>
      </c>
      <c r="K52" s="5">
        <f t="shared" si="24"/>
        <v>0.2558</v>
      </c>
      <c r="L52" s="3">
        <f>ROUND(L$11/2,4)</f>
        <v>-0.042</v>
      </c>
      <c r="M52" s="3">
        <f>ROUND(M$11/2,4)</f>
        <v>0.1171</v>
      </c>
      <c r="N52" s="3">
        <f t="shared" si="20"/>
        <v>0.3309</v>
      </c>
      <c r="O52" s="235"/>
      <c r="P52" s="181">
        <f t="shared" si="21"/>
        <v>0.3309</v>
      </c>
      <c r="Q52" s="117"/>
      <c r="R52" s="117"/>
      <c r="S52" s="118"/>
      <c r="T52" s="119"/>
      <c r="U52" s="119"/>
      <c r="V52" s="115"/>
    </row>
    <row r="53" spans="1:22" ht="13.5" thickBot="1">
      <c r="A53" s="329"/>
      <c r="B53" s="332"/>
      <c r="C53" s="143" t="s">
        <v>212</v>
      </c>
      <c r="D53" s="188">
        <f>'CNTNR COST'!G51</f>
        <v>0.1934</v>
      </c>
      <c r="E53" s="3"/>
      <c r="F53" s="3">
        <f>+$F$13</f>
        <v>0</v>
      </c>
      <c r="G53" s="6">
        <f>ROUND($G$11/32*12,4)</f>
        <v>0.0072</v>
      </c>
      <c r="H53" s="6">
        <f>ROUND($H$11/32*12,4)</f>
        <v>0</v>
      </c>
      <c r="I53" s="3">
        <f t="shared" si="22"/>
        <v>0.2006</v>
      </c>
      <c r="J53" s="3">
        <f t="shared" si="23"/>
        <v>0.007275647668393781</v>
      </c>
      <c r="K53" s="5">
        <f t="shared" si="24"/>
        <v>0.2079</v>
      </c>
      <c r="L53" s="3">
        <f>ROUND(L$11/32*12,4)</f>
        <v>-0.0315</v>
      </c>
      <c r="M53" s="3">
        <f>ROUND(M$11/32*12,4)</f>
        <v>0.0878</v>
      </c>
      <c r="N53" s="3">
        <f t="shared" si="20"/>
        <v>0.2642</v>
      </c>
      <c r="O53" s="235"/>
      <c r="P53" s="181"/>
      <c r="Q53" s="117"/>
      <c r="R53" s="117"/>
      <c r="S53" s="118"/>
      <c r="T53" s="119"/>
      <c r="U53" s="119"/>
      <c r="V53" s="115"/>
    </row>
    <row r="54" spans="1:22" ht="13.5" thickBot="1">
      <c r="A54" s="329"/>
      <c r="B54" s="332"/>
      <c r="C54" s="143" t="s">
        <v>42</v>
      </c>
      <c r="D54" s="188">
        <f>'CNTNR COST'!G52</f>
        <v>0.1941</v>
      </c>
      <c r="E54" s="3">
        <v>0</v>
      </c>
      <c r="F54" s="3">
        <f>+$F$14</f>
        <v>0</v>
      </c>
      <c r="G54" s="6">
        <f>ROUND($G$11/32*10,4)</f>
        <v>0.006</v>
      </c>
      <c r="H54" s="6">
        <f>ROUND($H$11/32*10,4)</f>
        <v>0</v>
      </c>
      <c r="I54" s="3">
        <f t="shared" si="22"/>
        <v>0.2001</v>
      </c>
      <c r="J54" s="3">
        <f t="shared" si="23"/>
        <v>0.007257512953367878</v>
      </c>
      <c r="K54" s="5">
        <f t="shared" si="24"/>
        <v>0.2074</v>
      </c>
      <c r="L54" s="3">
        <f>ROUND(L$11/32*10,4)</f>
        <v>-0.0262</v>
      </c>
      <c r="M54" s="3">
        <f>ROUND(M$11/32*10,4)</f>
        <v>0.0732</v>
      </c>
      <c r="N54" s="3">
        <f t="shared" si="20"/>
        <v>0.2544</v>
      </c>
      <c r="O54" s="235"/>
      <c r="P54" s="181">
        <f t="shared" si="21"/>
        <v>0.2544</v>
      </c>
      <c r="Q54" s="117"/>
      <c r="R54" s="117"/>
      <c r="S54" s="118"/>
      <c r="T54" s="119"/>
      <c r="U54" s="119"/>
      <c r="V54" s="115"/>
    </row>
    <row r="55" spans="1:22" ht="13.5" thickBot="1">
      <c r="A55" s="329"/>
      <c r="B55" s="332"/>
      <c r="C55" s="143" t="s">
        <v>43</v>
      </c>
      <c r="D55" s="188">
        <f>'CNTNR COST'!G53</f>
        <v>0.087</v>
      </c>
      <c r="E55" s="3">
        <v>0</v>
      </c>
      <c r="F55" s="3">
        <f>+$F$15</f>
        <v>0.0247</v>
      </c>
      <c r="G55" s="6">
        <f>ROUND($G$11/4,4)</f>
        <v>0.0048</v>
      </c>
      <c r="H55" s="6">
        <f>ROUND($H$11/4,4)</f>
        <v>0</v>
      </c>
      <c r="I55" s="3">
        <f t="shared" si="22"/>
        <v>0.1165</v>
      </c>
      <c r="J55" s="3">
        <f t="shared" si="23"/>
        <v>0.004225388601036273</v>
      </c>
      <c r="K55" s="5">
        <f t="shared" si="24"/>
        <v>0.1207</v>
      </c>
      <c r="L55" s="3">
        <f>ROUND(L$11/4,4)</f>
        <v>-0.021</v>
      </c>
      <c r="M55" s="3">
        <f>ROUND(M$11/4,4)</f>
        <v>0.0585</v>
      </c>
      <c r="N55" s="3">
        <f t="shared" si="20"/>
        <v>0.1582</v>
      </c>
      <c r="O55" s="235"/>
      <c r="P55" s="181">
        <f t="shared" si="21"/>
        <v>0.1582</v>
      </c>
      <c r="Q55" s="117"/>
      <c r="R55" s="117"/>
      <c r="S55" s="118"/>
      <c r="T55" s="119"/>
      <c r="U55" s="119"/>
      <c r="V55" s="115"/>
    </row>
    <row r="56" spans="1:22" ht="13.5" thickBot="1">
      <c r="A56" s="329"/>
      <c r="B56" s="332"/>
      <c r="C56" s="143" t="s">
        <v>44</v>
      </c>
      <c r="D56" s="188">
        <f>'CNTNR COST'!G54</f>
        <v>0.082</v>
      </c>
      <c r="E56" s="3">
        <v>0</v>
      </c>
      <c r="F56" s="3">
        <f>+$F$16</f>
        <v>0.0414</v>
      </c>
      <c r="G56" s="6">
        <f>ROUND($G$11/8,4)</f>
        <v>0.0024</v>
      </c>
      <c r="H56" s="6">
        <f>ROUND($H$11/8,4)</f>
        <v>0</v>
      </c>
      <c r="I56" s="3">
        <f t="shared" si="22"/>
        <v>0.1258</v>
      </c>
      <c r="J56" s="3">
        <f t="shared" si="23"/>
        <v>0.004562694300518144</v>
      </c>
      <c r="K56" s="5">
        <f t="shared" si="24"/>
        <v>0.1304</v>
      </c>
      <c r="L56" s="3">
        <f>ROUND(L$11/8,4)</f>
        <v>-0.0105</v>
      </c>
      <c r="M56" s="3">
        <f>ROUND(M$11/8,4)</f>
        <v>0.0293</v>
      </c>
      <c r="N56" s="3">
        <f t="shared" si="20"/>
        <v>0.1492</v>
      </c>
      <c r="O56" s="235"/>
      <c r="P56" s="181">
        <f t="shared" si="21"/>
        <v>0.1492</v>
      </c>
      <c r="Q56" s="117"/>
      <c r="R56" s="117"/>
      <c r="S56" s="118"/>
      <c r="T56" s="119"/>
      <c r="U56" s="119"/>
      <c r="V56" s="115"/>
    </row>
    <row r="57" spans="1:22" ht="13.5" thickBot="1">
      <c r="A57" s="330"/>
      <c r="B57" s="333"/>
      <c r="C57" s="143" t="s">
        <v>64</v>
      </c>
      <c r="D57" s="191">
        <f>'CNTNR COST'!G55</f>
        <v>0.4258</v>
      </c>
      <c r="E57" s="183">
        <v>0</v>
      </c>
      <c r="F57" s="183">
        <f>+$F$17</f>
        <v>0.1682</v>
      </c>
      <c r="G57" s="192">
        <f>ROUND($G$11,6)</f>
        <v>0.0192</v>
      </c>
      <c r="H57" s="192">
        <f>ROUND($H$11,6)</f>
        <v>0</v>
      </c>
      <c r="I57" s="183">
        <f t="shared" si="22"/>
        <v>0.6132</v>
      </c>
      <c r="J57" s="183">
        <f t="shared" si="23"/>
        <v>0.022240414507772033</v>
      </c>
      <c r="K57" s="184">
        <f t="shared" si="24"/>
        <v>0.6354</v>
      </c>
      <c r="L57" s="183">
        <f>L$11</f>
        <v>-0.0839</v>
      </c>
      <c r="M57" s="183">
        <f>M$11</f>
        <v>0.2341</v>
      </c>
      <c r="N57" s="183">
        <f t="shared" si="20"/>
        <v>0.7856</v>
      </c>
      <c r="O57" s="236"/>
      <c r="P57" s="185">
        <f t="shared" si="21"/>
        <v>0.7856</v>
      </c>
      <c r="Q57" s="117"/>
      <c r="R57" s="117"/>
      <c r="S57" s="118"/>
      <c r="T57" s="119"/>
      <c r="U57" s="119"/>
      <c r="V57" s="115"/>
    </row>
    <row r="58" spans="3:22" ht="14.25" thickBot="1" thickTop="1">
      <c r="C58" s="113"/>
      <c r="Q58" s="117"/>
      <c r="R58" s="117"/>
      <c r="S58" s="115"/>
      <c r="T58" s="115"/>
      <c r="U58" s="115"/>
      <c r="V58" s="115"/>
    </row>
    <row r="59" spans="1:22" ht="14.25" thickBot="1" thickTop="1">
      <c r="A59" s="334" t="s">
        <v>198</v>
      </c>
      <c r="B59" s="331" t="s">
        <v>15</v>
      </c>
      <c r="C59" s="143" t="s">
        <v>9</v>
      </c>
      <c r="D59" s="189">
        <f>'CNTNR COST'!G57</f>
        <v>1.3908</v>
      </c>
      <c r="E59" s="178">
        <v>0</v>
      </c>
      <c r="F59" s="178">
        <f>+$F$9</f>
        <v>-0.1067</v>
      </c>
      <c r="G59" s="190">
        <f>ROUND($G$11*4,6)</f>
        <v>0.0768</v>
      </c>
      <c r="H59" s="190">
        <f>ROUND($H$11*4,6)</f>
        <v>0</v>
      </c>
      <c r="I59" s="178">
        <f>ROUND(SUM(D59:H59),4)</f>
        <v>1.3609</v>
      </c>
      <c r="J59" s="178">
        <f>(I59/(1-$J$5))-I59</f>
        <v>0.04935906735751305</v>
      </c>
      <c r="K59" s="179">
        <f>ROUND(I59+J59,4)</f>
        <v>1.4103</v>
      </c>
      <c r="L59" s="178">
        <f>ROUND(L$11*4,4)</f>
        <v>-0.3356</v>
      </c>
      <c r="M59" s="178">
        <f>ROUND(M$11*4,4)</f>
        <v>0.9364</v>
      </c>
      <c r="N59" s="178">
        <f aca="true" t="shared" si="25" ref="N59:N67">ROUND(SUM(K59:M59),4)</f>
        <v>2.0111</v>
      </c>
      <c r="O59" s="234"/>
      <c r="P59" s="180">
        <f aca="true" t="shared" si="26" ref="P59:P67">N59-O59</f>
        <v>2.0111</v>
      </c>
      <c r="Q59" s="117"/>
      <c r="R59" s="117"/>
      <c r="S59" s="118"/>
      <c r="T59" s="119"/>
      <c r="U59" s="119"/>
      <c r="V59" s="115"/>
    </row>
    <row r="60" spans="1:22" ht="13.5" thickBot="1">
      <c r="A60" s="329"/>
      <c r="B60" s="332"/>
      <c r="C60" s="143" t="s">
        <v>41</v>
      </c>
      <c r="D60" s="188">
        <f>'CNTNR COST'!G58</f>
        <v>0.6954</v>
      </c>
      <c r="E60" s="3">
        <v>0</v>
      </c>
      <c r="F60" s="3">
        <f>+$F$10</f>
        <v>-0.0317</v>
      </c>
      <c r="G60" s="6">
        <f>ROUND($G$11*2,6)</f>
        <v>0.0384</v>
      </c>
      <c r="H60" s="6">
        <f>ROUND($H$11*2,6)</f>
        <v>0</v>
      </c>
      <c r="I60" s="3">
        <f aca="true" t="shared" si="27" ref="I60:I67">ROUND(SUM(D60:H60),4)</f>
        <v>0.7021</v>
      </c>
      <c r="J60" s="3">
        <f aca="true" t="shared" si="28" ref="J60:J67">(I60/(1-$J$5))-I60</f>
        <v>0.02546476683937826</v>
      </c>
      <c r="K60" s="5">
        <f aca="true" t="shared" si="29" ref="K60:K67">ROUND(I60+J60,4)</f>
        <v>0.7276</v>
      </c>
      <c r="L60" s="3">
        <f>ROUND(L$11*2,4)</f>
        <v>-0.1678</v>
      </c>
      <c r="M60" s="3">
        <f>ROUND(M$11*2,4)</f>
        <v>0.4682</v>
      </c>
      <c r="N60" s="3">
        <f t="shared" si="25"/>
        <v>1.028</v>
      </c>
      <c r="O60" s="235"/>
      <c r="P60" s="181">
        <f t="shared" si="26"/>
        <v>1.028</v>
      </c>
      <c r="Q60" s="117"/>
      <c r="R60" s="117"/>
      <c r="S60" s="118"/>
      <c r="T60" s="119"/>
      <c r="U60" s="119"/>
      <c r="V60" s="115"/>
    </row>
    <row r="61" spans="1:22" ht="13.5" thickBot="1">
      <c r="A61" s="329"/>
      <c r="B61" s="332"/>
      <c r="C61" s="143" t="s">
        <v>10</v>
      </c>
      <c r="D61" s="188">
        <f>'CNTNR COST'!G59</f>
        <v>0.3477</v>
      </c>
      <c r="E61" s="3">
        <v>0</v>
      </c>
      <c r="F61" s="3">
        <f>+$F$11</f>
        <v>0.0467</v>
      </c>
      <c r="G61" s="6">
        <f>ROUND(COST_UPDATE_ADJ,4)</f>
        <v>0.0192</v>
      </c>
      <c r="H61" s="6">
        <f>Energy_Addon</f>
        <v>0</v>
      </c>
      <c r="I61" s="3">
        <f t="shared" si="27"/>
        <v>0.4136</v>
      </c>
      <c r="J61" s="3">
        <f t="shared" si="28"/>
        <v>0.015001036269430057</v>
      </c>
      <c r="K61" s="5">
        <f t="shared" si="29"/>
        <v>0.4286</v>
      </c>
      <c r="L61" s="3">
        <f>$L$11</f>
        <v>-0.0839</v>
      </c>
      <c r="M61" s="3">
        <f>$M$11</f>
        <v>0.2341</v>
      </c>
      <c r="N61" s="3">
        <f t="shared" si="25"/>
        <v>0.5788</v>
      </c>
      <c r="O61" s="235"/>
      <c r="P61" s="181">
        <f t="shared" si="26"/>
        <v>0.5788</v>
      </c>
      <c r="Q61" s="117"/>
      <c r="R61" s="117"/>
      <c r="S61" s="118"/>
      <c r="T61" s="119"/>
      <c r="U61" s="119"/>
      <c r="V61" s="115"/>
    </row>
    <row r="62" spans="1:22" ht="13.5" thickBot="1">
      <c r="A62" s="329"/>
      <c r="B62" s="332"/>
      <c r="C62" s="143" t="s">
        <v>11</v>
      </c>
      <c r="D62" s="188">
        <f>'CNTNR COST'!G60</f>
        <v>0.1739</v>
      </c>
      <c r="E62" s="3">
        <v>0</v>
      </c>
      <c r="F62" s="3">
        <f>+$F$12</f>
        <v>0.0633</v>
      </c>
      <c r="G62" s="6">
        <f>ROUND($G$11/2,4)</f>
        <v>0.0096</v>
      </c>
      <c r="H62" s="6">
        <f>ROUND($H$11/2,4)</f>
        <v>0</v>
      </c>
      <c r="I62" s="3">
        <f t="shared" si="27"/>
        <v>0.2468</v>
      </c>
      <c r="J62" s="3">
        <f t="shared" si="28"/>
        <v>0.008951295336787596</v>
      </c>
      <c r="K62" s="5">
        <f t="shared" si="29"/>
        <v>0.2558</v>
      </c>
      <c r="L62" s="3">
        <f>ROUND(L$11/2,4)</f>
        <v>-0.042</v>
      </c>
      <c r="M62" s="3">
        <f>ROUND(M$11/2,4)</f>
        <v>0.1171</v>
      </c>
      <c r="N62" s="3">
        <f t="shared" si="25"/>
        <v>0.3309</v>
      </c>
      <c r="O62" s="235"/>
      <c r="P62" s="181">
        <f t="shared" si="26"/>
        <v>0.3309</v>
      </c>
      <c r="Q62" s="117"/>
      <c r="R62" s="117"/>
      <c r="S62" s="118"/>
      <c r="T62" s="119"/>
      <c r="U62" s="119"/>
      <c r="V62" s="115"/>
    </row>
    <row r="63" spans="1:22" ht="13.5" thickBot="1">
      <c r="A63" s="329"/>
      <c r="B63" s="332"/>
      <c r="C63" s="143" t="s">
        <v>212</v>
      </c>
      <c r="D63" s="188">
        <f>'CNTNR COST'!G61</f>
        <v>0.1934</v>
      </c>
      <c r="E63" s="3"/>
      <c r="F63" s="3">
        <f>+$F$13</f>
        <v>0</v>
      </c>
      <c r="G63" s="6">
        <f>ROUND($G$11/32*12,4)</f>
        <v>0.0072</v>
      </c>
      <c r="H63" s="6">
        <f>ROUND($H$11/32*12,4)</f>
        <v>0</v>
      </c>
      <c r="I63" s="3">
        <f t="shared" si="27"/>
        <v>0.2006</v>
      </c>
      <c r="J63" s="3">
        <f t="shared" si="28"/>
        <v>0.007275647668393781</v>
      </c>
      <c r="K63" s="5">
        <f t="shared" si="29"/>
        <v>0.2079</v>
      </c>
      <c r="L63" s="3">
        <f>ROUND(L$11/32*12,4)</f>
        <v>-0.0315</v>
      </c>
      <c r="M63" s="3">
        <f>ROUND(M$11/32*12,4)</f>
        <v>0.0878</v>
      </c>
      <c r="N63" s="3">
        <f t="shared" si="25"/>
        <v>0.2642</v>
      </c>
      <c r="O63" s="235"/>
      <c r="P63" s="181"/>
      <c r="Q63" s="117"/>
      <c r="R63" s="117"/>
      <c r="S63" s="118"/>
      <c r="T63" s="119"/>
      <c r="U63" s="119"/>
      <c r="V63" s="115"/>
    </row>
    <row r="64" spans="1:22" ht="13.5" thickBot="1">
      <c r="A64" s="329"/>
      <c r="B64" s="332"/>
      <c r="C64" s="143" t="s">
        <v>42</v>
      </c>
      <c r="D64" s="188">
        <f>'CNTNR COST'!G62</f>
        <v>0.1941</v>
      </c>
      <c r="E64" s="3">
        <v>0</v>
      </c>
      <c r="F64" s="3">
        <f>+$F$14</f>
        <v>0</v>
      </c>
      <c r="G64" s="6">
        <f>ROUND($G$11/32*10,4)</f>
        <v>0.006</v>
      </c>
      <c r="H64" s="6">
        <f>ROUND($H$11/32*10,4)</f>
        <v>0</v>
      </c>
      <c r="I64" s="3">
        <f t="shared" si="27"/>
        <v>0.2001</v>
      </c>
      <c r="J64" s="3">
        <f t="shared" si="28"/>
        <v>0.007257512953367878</v>
      </c>
      <c r="K64" s="5">
        <f t="shared" si="29"/>
        <v>0.2074</v>
      </c>
      <c r="L64" s="3">
        <f>ROUND(L$11/32*10,4)</f>
        <v>-0.0262</v>
      </c>
      <c r="M64" s="3">
        <f>ROUND(M$11/32*10,4)</f>
        <v>0.0732</v>
      </c>
      <c r="N64" s="3">
        <f t="shared" si="25"/>
        <v>0.2544</v>
      </c>
      <c r="O64" s="235"/>
      <c r="P64" s="181">
        <f t="shared" si="26"/>
        <v>0.2544</v>
      </c>
      <c r="Q64" s="117"/>
      <c r="R64" s="117"/>
      <c r="S64" s="118"/>
      <c r="T64" s="119"/>
      <c r="U64" s="119"/>
      <c r="V64" s="115"/>
    </row>
    <row r="65" spans="1:22" ht="13.5" thickBot="1">
      <c r="A65" s="329"/>
      <c r="B65" s="332"/>
      <c r="C65" s="143" t="s">
        <v>43</v>
      </c>
      <c r="D65" s="188">
        <f>'CNTNR COST'!G63</f>
        <v>0.087</v>
      </c>
      <c r="E65" s="3">
        <v>0</v>
      </c>
      <c r="F65" s="3">
        <f>+$F$15</f>
        <v>0.0247</v>
      </c>
      <c r="G65" s="6">
        <f>ROUND($G$11/4,4)</f>
        <v>0.0048</v>
      </c>
      <c r="H65" s="6">
        <f>ROUND($H$11/4,4)</f>
        <v>0</v>
      </c>
      <c r="I65" s="3">
        <f>ROUND(SUM(D65:H65),4)</f>
        <v>0.1165</v>
      </c>
      <c r="J65" s="3">
        <f t="shared" si="28"/>
        <v>0.004225388601036273</v>
      </c>
      <c r="K65" s="5">
        <f t="shared" si="29"/>
        <v>0.1207</v>
      </c>
      <c r="L65" s="3">
        <f>ROUND(L$11/4,4)</f>
        <v>-0.021</v>
      </c>
      <c r="M65" s="3">
        <f>ROUND(M$11/4,4)</f>
        <v>0.0585</v>
      </c>
      <c r="N65" s="3">
        <f t="shared" si="25"/>
        <v>0.1582</v>
      </c>
      <c r="O65" s="235">
        <v>0.2023</v>
      </c>
      <c r="P65" s="181">
        <f t="shared" si="26"/>
        <v>-0.0441</v>
      </c>
      <c r="Q65" s="117"/>
      <c r="R65" s="117"/>
      <c r="S65" s="118"/>
      <c r="T65" s="119"/>
      <c r="U65" s="119"/>
      <c r="V65" s="115"/>
    </row>
    <row r="66" spans="1:22" ht="13.5" thickBot="1">
      <c r="A66" s="329"/>
      <c r="B66" s="332"/>
      <c r="C66" s="143" t="s">
        <v>44</v>
      </c>
      <c r="D66" s="188">
        <f>'CNTNR COST'!G64</f>
        <v>0.082</v>
      </c>
      <c r="E66" s="3">
        <v>0</v>
      </c>
      <c r="F66" s="3">
        <f>+$F$16</f>
        <v>0.0414</v>
      </c>
      <c r="G66" s="6">
        <f>ROUND($G$11/8,4)</f>
        <v>0.0024</v>
      </c>
      <c r="H66" s="6">
        <f>ROUND($H$11/8,4)</f>
        <v>0</v>
      </c>
      <c r="I66" s="3">
        <f t="shared" si="27"/>
        <v>0.1258</v>
      </c>
      <c r="J66" s="3">
        <f t="shared" si="28"/>
        <v>0.004562694300518144</v>
      </c>
      <c r="K66" s="5">
        <f t="shared" si="29"/>
        <v>0.1304</v>
      </c>
      <c r="L66" s="3">
        <f>ROUND(L$11/8,4)</f>
        <v>-0.0105</v>
      </c>
      <c r="M66" s="3">
        <f>ROUND(M$11/8,4)</f>
        <v>0.0293</v>
      </c>
      <c r="N66" s="3">
        <f t="shared" si="25"/>
        <v>0.1492</v>
      </c>
      <c r="O66" s="235"/>
      <c r="P66" s="181">
        <f t="shared" si="26"/>
        <v>0.1492</v>
      </c>
      <c r="Q66" s="117"/>
      <c r="R66" s="117"/>
      <c r="S66" s="118"/>
      <c r="T66" s="119"/>
      <c r="U66" s="119"/>
      <c r="V66" s="115"/>
    </row>
    <row r="67" spans="1:22" ht="13.5" thickBot="1">
      <c r="A67" s="330"/>
      <c r="B67" s="333"/>
      <c r="C67" s="143" t="s">
        <v>64</v>
      </c>
      <c r="D67" s="191">
        <f>'CNTNR COST'!G65</f>
        <v>0.4258</v>
      </c>
      <c r="E67" s="183">
        <v>0</v>
      </c>
      <c r="F67" s="183">
        <f>+$F$17</f>
        <v>0.1682</v>
      </c>
      <c r="G67" s="192">
        <f>ROUND($G$11,6)</f>
        <v>0.0192</v>
      </c>
      <c r="H67" s="192">
        <f>ROUND($H$11,6)</f>
        <v>0</v>
      </c>
      <c r="I67" s="183">
        <f t="shared" si="27"/>
        <v>0.6132</v>
      </c>
      <c r="J67" s="183">
        <f t="shared" si="28"/>
        <v>0.022240414507772033</v>
      </c>
      <c r="K67" s="184">
        <f t="shared" si="29"/>
        <v>0.6354</v>
      </c>
      <c r="L67" s="183">
        <f>L$11</f>
        <v>-0.0839</v>
      </c>
      <c r="M67" s="183">
        <f>M$11</f>
        <v>0.2341</v>
      </c>
      <c r="N67" s="183">
        <f t="shared" si="25"/>
        <v>0.7856</v>
      </c>
      <c r="O67" s="236"/>
      <c r="P67" s="185">
        <f t="shared" si="26"/>
        <v>0.7856</v>
      </c>
      <c r="Q67" s="117"/>
      <c r="R67" s="117"/>
      <c r="S67" s="118"/>
      <c r="T67" s="119"/>
      <c r="U67" s="119"/>
      <c r="V67" s="115"/>
    </row>
    <row r="68" spans="1:22" ht="14.25" thickBot="1" thickTop="1">
      <c r="A68" s="231"/>
      <c r="B68" s="307"/>
      <c r="C68" s="113"/>
      <c r="D68" s="115"/>
      <c r="E68" s="115"/>
      <c r="F68" s="115"/>
      <c r="G68" s="312"/>
      <c r="H68" s="312"/>
      <c r="I68" s="115"/>
      <c r="J68" s="115"/>
      <c r="K68" s="117"/>
      <c r="L68" s="115"/>
      <c r="M68" s="115"/>
      <c r="N68" s="115"/>
      <c r="O68" s="313"/>
      <c r="P68" s="117"/>
      <c r="Q68" s="117"/>
      <c r="R68" s="117"/>
      <c r="S68" s="118"/>
      <c r="T68" s="119"/>
      <c r="U68" s="119"/>
      <c r="V68" s="115"/>
    </row>
    <row r="69" spans="1:22" ht="14.25" thickBot="1" thickTop="1">
      <c r="A69" s="328" t="s">
        <v>225</v>
      </c>
      <c r="B69" s="331" t="s">
        <v>15</v>
      </c>
      <c r="C69" s="143" t="s">
        <v>9</v>
      </c>
      <c r="D69" s="189">
        <f>'CNTNR COST'!G67</f>
        <v>1.3908</v>
      </c>
      <c r="E69" s="178">
        <v>0</v>
      </c>
      <c r="F69" s="178">
        <f>+$F$9</f>
        <v>-0.1067</v>
      </c>
      <c r="G69" s="190">
        <f>ROUND($G$11*4,6)</f>
        <v>0.0768</v>
      </c>
      <c r="H69" s="190">
        <f>ROUND($H$11*4,6)</f>
        <v>0</v>
      </c>
      <c r="I69" s="178">
        <f aca="true" t="shared" si="30" ref="I69:I77">ROUND(SUM(D69:H69),4)</f>
        <v>1.3609</v>
      </c>
      <c r="J69" s="178">
        <f>(I69/(1-$J$5))-I69</f>
        <v>0.04935906735751305</v>
      </c>
      <c r="K69" s="179">
        <f>ROUND(I69+J69,4)</f>
        <v>1.4103</v>
      </c>
      <c r="L69" s="178">
        <f>ROUND(L$11*4,4)</f>
        <v>-0.3356</v>
      </c>
      <c r="M69" s="178">
        <f>ROUND(M$11*4,4)</f>
        <v>0.9364</v>
      </c>
      <c r="N69" s="178">
        <f aca="true" t="shared" si="31" ref="N69:N77">ROUND(SUM(K69:M69),4)</f>
        <v>2.0111</v>
      </c>
      <c r="O69" s="234"/>
      <c r="P69" s="180">
        <f>N69-O69</f>
        <v>2.0111</v>
      </c>
      <c r="Q69" s="117"/>
      <c r="R69" s="117"/>
      <c r="S69" s="118"/>
      <c r="T69" s="119"/>
      <c r="U69" s="119"/>
      <c r="V69" s="115"/>
    </row>
    <row r="70" spans="1:22" ht="13.5" thickBot="1">
      <c r="A70" s="329"/>
      <c r="B70" s="332"/>
      <c r="C70" s="143" t="s">
        <v>41</v>
      </c>
      <c r="D70" s="188">
        <f>'CNTNR COST'!G68</f>
        <v>0.6954</v>
      </c>
      <c r="E70" s="3">
        <v>0</v>
      </c>
      <c r="F70" s="3">
        <f>+$F$10</f>
        <v>-0.0317</v>
      </c>
      <c r="G70" s="6">
        <f>ROUND($G$11*2,6)</f>
        <v>0.0384</v>
      </c>
      <c r="H70" s="6">
        <f>ROUND($H$11*2,6)</f>
        <v>0</v>
      </c>
      <c r="I70" s="3">
        <f t="shared" si="30"/>
        <v>0.7021</v>
      </c>
      <c r="J70" s="3">
        <f aca="true" t="shared" si="32" ref="J70:J77">(I70/(1-$J$5))-I70</f>
        <v>0.02546476683937826</v>
      </c>
      <c r="K70" s="5">
        <f aca="true" t="shared" si="33" ref="K70:K77">ROUND(I70+J70,4)</f>
        <v>0.7276</v>
      </c>
      <c r="L70" s="3">
        <f>ROUND(L$11*2,4)</f>
        <v>-0.1678</v>
      </c>
      <c r="M70" s="3">
        <f>ROUND(M$11*2,4)</f>
        <v>0.4682</v>
      </c>
      <c r="N70" s="3">
        <f t="shared" si="31"/>
        <v>1.028</v>
      </c>
      <c r="O70" s="235"/>
      <c r="P70" s="181">
        <f>N70-O70</f>
        <v>1.028</v>
      </c>
      <c r="Q70" s="117"/>
      <c r="R70" s="117"/>
      <c r="S70" s="118"/>
      <c r="T70" s="119"/>
      <c r="U70" s="119"/>
      <c r="V70" s="115"/>
    </row>
    <row r="71" spans="1:22" ht="13.5" thickBot="1">
      <c r="A71" s="329"/>
      <c r="B71" s="332"/>
      <c r="C71" s="143" t="s">
        <v>10</v>
      </c>
      <c r="D71" s="188">
        <f>'CNTNR COST'!G69</f>
        <v>0.3477</v>
      </c>
      <c r="E71" s="3">
        <v>0</v>
      </c>
      <c r="F71" s="3">
        <f>+$F$11</f>
        <v>0.0467</v>
      </c>
      <c r="G71" s="6">
        <f>ROUND(COST_UPDATE_ADJ,4)</f>
        <v>0.0192</v>
      </c>
      <c r="H71" s="6">
        <f>Energy_Addon</f>
        <v>0</v>
      </c>
      <c r="I71" s="3">
        <f t="shared" si="30"/>
        <v>0.4136</v>
      </c>
      <c r="J71" s="3">
        <f t="shared" si="32"/>
        <v>0.015001036269430057</v>
      </c>
      <c r="K71" s="5">
        <f t="shared" si="33"/>
        <v>0.4286</v>
      </c>
      <c r="L71" s="3">
        <f>$L$11</f>
        <v>-0.0839</v>
      </c>
      <c r="M71" s="3">
        <f>$M$11</f>
        <v>0.2341</v>
      </c>
      <c r="N71" s="3">
        <f t="shared" si="31"/>
        <v>0.5788</v>
      </c>
      <c r="O71" s="235"/>
      <c r="P71" s="181">
        <f>N71-O71</f>
        <v>0.5788</v>
      </c>
      <c r="Q71" s="117"/>
      <c r="R71" s="117"/>
      <c r="S71" s="118"/>
      <c r="T71" s="119"/>
      <c r="U71" s="119"/>
      <c r="V71" s="115"/>
    </row>
    <row r="72" spans="1:22" ht="13.5" thickBot="1">
      <c r="A72" s="329"/>
      <c r="B72" s="332"/>
      <c r="C72" s="143" t="s">
        <v>11</v>
      </c>
      <c r="D72" s="188">
        <f>'CNTNR COST'!G70</f>
        <v>0.1739</v>
      </c>
      <c r="E72" s="3">
        <v>0</v>
      </c>
      <c r="F72" s="3">
        <f>+$F$12</f>
        <v>0.0633</v>
      </c>
      <c r="G72" s="6">
        <f>ROUND($G$11/2,4)</f>
        <v>0.0096</v>
      </c>
      <c r="H72" s="6">
        <f>ROUND($H$11/2,4)</f>
        <v>0</v>
      </c>
      <c r="I72" s="3">
        <f t="shared" si="30"/>
        <v>0.2468</v>
      </c>
      <c r="J72" s="3">
        <f t="shared" si="32"/>
        <v>0.008951295336787596</v>
      </c>
      <c r="K72" s="5">
        <f t="shared" si="33"/>
        <v>0.2558</v>
      </c>
      <c r="L72" s="3">
        <f>ROUND(L$11/2,4)</f>
        <v>-0.042</v>
      </c>
      <c r="M72" s="3">
        <f>ROUND(M$11/2,4)</f>
        <v>0.1171</v>
      </c>
      <c r="N72" s="3">
        <f t="shared" si="31"/>
        <v>0.3309</v>
      </c>
      <c r="O72" s="235"/>
      <c r="P72" s="181">
        <f>N72-O72</f>
        <v>0.3309</v>
      </c>
      <c r="Q72" s="117"/>
      <c r="R72" s="117"/>
      <c r="S72" s="118"/>
      <c r="T72" s="119"/>
      <c r="U72" s="119"/>
      <c r="V72" s="115"/>
    </row>
    <row r="73" spans="1:22" ht="13.5" thickBot="1">
      <c r="A73" s="329"/>
      <c r="B73" s="332"/>
      <c r="C73" s="143" t="s">
        <v>212</v>
      </c>
      <c r="D73" s="188">
        <f>'CNTNR COST'!G71</f>
        <v>0.1934</v>
      </c>
      <c r="E73" s="3"/>
      <c r="F73" s="3">
        <f>+$F$13</f>
        <v>0</v>
      </c>
      <c r="G73" s="6">
        <f>ROUND($G$11/32*12,4)</f>
        <v>0.0072</v>
      </c>
      <c r="H73" s="6">
        <f>ROUND($H$11/32*12,4)</f>
        <v>0</v>
      </c>
      <c r="I73" s="3">
        <f t="shared" si="30"/>
        <v>0.2006</v>
      </c>
      <c r="J73" s="3">
        <f t="shared" si="32"/>
        <v>0.007275647668393781</v>
      </c>
      <c r="K73" s="5">
        <f t="shared" si="33"/>
        <v>0.2079</v>
      </c>
      <c r="L73" s="3">
        <f>ROUND(L$11/32*12,4)</f>
        <v>-0.0315</v>
      </c>
      <c r="M73" s="3">
        <f>ROUND(M$11/32*12,4)</f>
        <v>0.0878</v>
      </c>
      <c r="N73" s="3">
        <f t="shared" si="31"/>
        <v>0.2642</v>
      </c>
      <c r="O73" s="235"/>
      <c r="P73" s="181"/>
      <c r="Q73" s="117"/>
      <c r="R73" s="117"/>
      <c r="S73" s="118"/>
      <c r="T73" s="119"/>
      <c r="U73" s="119"/>
      <c r="V73" s="115"/>
    </row>
    <row r="74" spans="1:22" ht="13.5" thickBot="1">
      <c r="A74" s="329"/>
      <c r="B74" s="332"/>
      <c r="C74" s="143" t="s">
        <v>42</v>
      </c>
      <c r="D74" s="188">
        <f>'CNTNR COST'!G72</f>
        <v>0.1941</v>
      </c>
      <c r="E74" s="3">
        <v>0</v>
      </c>
      <c r="F74" s="3">
        <f>+$F$14</f>
        <v>0</v>
      </c>
      <c r="G74" s="6">
        <f>ROUND($G$11/32*10,4)</f>
        <v>0.006</v>
      </c>
      <c r="H74" s="6">
        <f>ROUND($H$11/32*10,4)</f>
        <v>0</v>
      </c>
      <c r="I74" s="3">
        <f t="shared" si="30"/>
        <v>0.2001</v>
      </c>
      <c r="J74" s="3">
        <f t="shared" si="32"/>
        <v>0.007257512953367878</v>
      </c>
      <c r="K74" s="5">
        <f t="shared" si="33"/>
        <v>0.2074</v>
      </c>
      <c r="L74" s="3">
        <f>ROUND(L$11/32*10,4)</f>
        <v>-0.0262</v>
      </c>
      <c r="M74" s="3">
        <f>ROUND(M$11/32*10,4)</f>
        <v>0.0732</v>
      </c>
      <c r="N74" s="3">
        <f t="shared" si="31"/>
        <v>0.2544</v>
      </c>
      <c r="O74" s="235"/>
      <c r="P74" s="181">
        <f>N74-O74</f>
        <v>0.2544</v>
      </c>
      <c r="Q74" s="117"/>
      <c r="R74" s="117"/>
      <c r="S74" s="118"/>
      <c r="T74" s="119"/>
      <c r="U74" s="119"/>
      <c r="V74" s="115"/>
    </row>
    <row r="75" spans="1:22" ht="13.5" thickBot="1">
      <c r="A75" s="329"/>
      <c r="B75" s="332"/>
      <c r="C75" s="143" t="s">
        <v>43</v>
      </c>
      <c r="D75" s="188">
        <f>'CNTNR COST'!G73</f>
        <v>0.087</v>
      </c>
      <c r="E75" s="3">
        <v>0</v>
      </c>
      <c r="F75" s="3">
        <f>+$F$15</f>
        <v>0.0247</v>
      </c>
      <c r="G75" s="6">
        <f>ROUND($G$11/4,4)</f>
        <v>0.0048</v>
      </c>
      <c r="H75" s="6">
        <f>ROUND($H$11/4,4)</f>
        <v>0</v>
      </c>
      <c r="I75" s="3">
        <f t="shared" si="30"/>
        <v>0.1165</v>
      </c>
      <c r="J75" s="3">
        <f t="shared" si="32"/>
        <v>0.004225388601036273</v>
      </c>
      <c r="K75" s="5">
        <f t="shared" si="33"/>
        <v>0.1207</v>
      </c>
      <c r="L75" s="3">
        <f>ROUND(L$11/4,4)</f>
        <v>-0.021</v>
      </c>
      <c r="M75" s="3">
        <f>ROUND(M$11/4,4)</f>
        <v>0.0585</v>
      </c>
      <c r="N75" s="3">
        <f t="shared" si="31"/>
        <v>0.1582</v>
      </c>
      <c r="O75" s="235">
        <v>0.2023</v>
      </c>
      <c r="P75" s="181">
        <f>N75-O75</f>
        <v>-0.0441</v>
      </c>
      <c r="Q75" s="117"/>
      <c r="R75" s="117"/>
      <c r="S75" s="118"/>
      <c r="T75" s="119"/>
      <c r="U75" s="119"/>
      <c r="V75" s="115"/>
    </row>
    <row r="76" spans="1:22" ht="13.5" thickBot="1">
      <c r="A76" s="329"/>
      <c r="B76" s="332"/>
      <c r="C76" s="143" t="s">
        <v>44</v>
      </c>
      <c r="D76" s="188">
        <f>'CNTNR COST'!G74</f>
        <v>0.082</v>
      </c>
      <c r="E76" s="3">
        <v>0</v>
      </c>
      <c r="F76" s="3">
        <f>+$F$16</f>
        <v>0.0414</v>
      </c>
      <c r="G76" s="6">
        <f>ROUND($G$11/8,4)</f>
        <v>0.0024</v>
      </c>
      <c r="H76" s="6">
        <f>ROUND($H$11/8,4)</f>
        <v>0</v>
      </c>
      <c r="I76" s="3">
        <f t="shared" si="30"/>
        <v>0.1258</v>
      </c>
      <c r="J76" s="3">
        <f t="shared" si="32"/>
        <v>0.004562694300518144</v>
      </c>
      <c r="K76" s="5">
        <f t="shared" si="33"/>
        <v>0.1304</v>
      </c>
      <c r="L76" s="3">
        <f>ROUND(L$11/8,4)</f>
        <v>-0.0105</v>
      </c>
      <c r="M76" s="3">
        <f>ROUND(M$11/8,4)</f>
        <v>0.0293</v>
      </c>
      <c r="N76" s="3">
        <f t="shared" si="31"/>
        <v>0.1492</v>
      </c>
      <c r="O76" s="235"/>
      <c r="P76" s="181">
        <f>N76-O76</f>
        <v>0.1492</v>
      </c>
      <c r="Q76" s="117"/>
      <c r="R76" s="117"/>
      <c r="S76" s="118"/>
      <c r="T76" s="119"/>
      <c r="U76" s="119"/>
      <c r="V76" s="115"/>
    </row>
    <row r="77" spans="1:22" ht="13.5" thickBot="1">
      <c r="A77" s="330"/>
      <c r="B77" s="333"/>
      <c r="C77" s="143" t="s">
        <v>64</v>
      </c>
      <c r="D77" s="191">
        <f>'CNTNR COST'!G75</f>
        <v>0.4258</v>
      </c>
      <c r="E77" s="183">
        <v>0</v>
      </c>
      <c r="F77" s="183">
        <f>+$F$17</f>
        <v>0.1682</v>
      </c>
      <c r="G77" s="192">
        <f>ROUND($G$11,6)</f>
        <v>0.0192</v>
      </c>
      <c r="H77" s="192">
        <f>ROUND($H$11,6)</f>
        <v>0</v>
      </c>
      <c r="I77" s="183">
        <f t="shared" si="30"/>
        <v>0.6132</v>
      </c>
      <c r="J77" s="183">
        <f t="shared" si="32"/>
        <v>0.022240414507772033</v>
      </c>
      <c r="K77" s="184">
        <f t="shared" si="33"/>
        <v>0.6354</v>
      </c>
      <c r="L77" s="183">
        <f>L$11</f>
        <v>-0.0839</v>
      </c>
      <c r="M77" s="183">
        <f>M$11</f>
        <v>0.2341</v>
      </c>
      <c r="N77" s="183">
        <f t="shared" si="31"/>
        <v>0.7856</v>
      </c>
      <c r="O77" s="236"/>
      <c r="P77" s="185">
        <f>N77-O77</f>
        <v>0.7856</v>
      </c>
      <c r="Q77" s="117"/>
      <c r="R77" s="117"/>
      <c r="S77" s="118"/>
      <c r="T77" s="119"/>
      <c r="U77" s="119"/>
      <c r="V77" s="115"/>
    </row>
    <row r="78" spans="3:22" ht="14.25" thickBot="1" thickTop="1">
      <c r="C78" s="113"/>
      <c r="Q78" s="117"/>
      <c r="R78" s="117"/>
      <c r="S78" s="115"/>
      <c r="T78" s="115"/>
      <c r="U78" s="115"/>
      <c r="V78" s="115"/>
    </row>
    <row r="79" spans="1:22" ht="14.25" thickBot="1" thickTop="1">
      <c r="A79" s="334" t="s">
        <v>16</v>
      </c>
      <c r="B79" s="338"/>
      <c r="C79" s="143" t="s">
        <v>9</v>
      </c>
      <c r="D79" s="189">
        <f>'CNTNR COST'!G77</f>
        <v>1.6726</v>
      </c>
      <c r="E79" s="178">
        <v>0</v>
      </c>
      <c r="F79" s="178">
        <f>+$F$9</f>
        <v>-0.1067</v>
      </c>
      <c r="G79" s="190">
        <f>ROUND($G$11*4,6)</f>
        <v>0.0768</v>
      </c>
      <c r="H79" s="190">
        <f>ROUND($H$11*4,6)</f>
        <v>0</v>
      </c>
      <c r="I79" s="178">
        <f aca="true" t="shared" si="34" ref="I79:I87">ROUND(SUM(D79:H79),4)</f>
        <v>1.6427</v>
      </c>
      <c r="J79" s="178">
        <f>(I79/(1-$J$5))-I79</f>
        <v>0.059579792746114135</v>
      </c>
      <c r="K79" s="179">
        <f aca="true" t="shared" si="35" ref="K79:K87">ROUND(I79+J79,4)</f>
        <v>1.7023</v>
      </c>
      <c r="L79" s="178">
        <f>ROUND(L$11*4,4)</f>
        <v>-0.3356</v>
      </c>
      <c r="M79" s="178">
        <f>ROUND(M$11*4,4)</f>
        <v>0.9364</v>
      </c>
      <c r="N79" s="178">
        <f aca="true" t="shared" si="36" ref="N79:N87">ROUND(SUM(K79:M79),4)</f>
        <v>2.3031</v>
      </c>
      <c r="O79" s="234"/>
      <c r="P79" s="180">
        <f aca="true" t="shared" si="37" ref="P79:P87">N79-O79</f>
        <v>2.3031</v>
      </c>
      <c r="Q79" s="117"/>
      <c r="R79" s="117"/>
      <c r="S79" s="118"/>
      <c r="T79" s="119"/>
      <c r="U79" s="119"/>
      <c r="V79" s="115"/>
    </row>
    <row r="80" spans="1:22" ht="13.5" thickBot="1">
      <c r="A80" s="329"/>
      <c r="B80" s="339"/>
      <c r="C80" s="143" t="s">
        <v>41</v>
      </c>
      <c r="D80" s="188">
        <f>'CNTNR COST'!G78</f>
        <v>0.8363</v>
      </c>
      <c r="E80" s="3">
        <v>0</v>
      </c>
      <c r="F80" s="3">
        <f>+$F$10</f>
        <v>-0.0317</v>
      </c>
      <c r="G80" s="6">
        <f>ROUND($G$11*2,6)</f>
        <v>0.0384</v>
      </c>
      <c r="H80" s="6">
        <f>ROUND($H$11*2,6)</f>
        <v>0</v>
      </c>
      <c r="I80" s="3">
        <f t="shared" si="34"/>
        <v>0.843</v>
      </c>
      <c r="J80" s="3">
        <f aca="true" t="shared" si="38" ref="J80:J145">(I80/(1-$J$5))-I80</f>
        <v>0.030575129533678802</v>
      </c>
      <c r="K80" s="5">
        <f t="shared" si="35"/>
        <v>0.8736</v>
      </c>
      <c r="L80" s="3">
        <f>ROUND(L$11*2,4)</f>
        <v>-0.1678</v>
      </c>
      <c r="M80" s="3">
        <f>ROUND(M$11*2,4)</f>
        <v>0.4682</v>
      </c>
      <c r="N80" s="3">
        <f t="shared" si="36"/>
        <v>1.174</v>
      </c>
      <c r="O80" s="235"/>
      <c r="P80" s="181">
        <f t="shared" si="37"/>
        <v>1.174</v>
      </c>
      <c r="Q80" s="117"/>
      <c r="R80" s="117"/>
      <c r="S80" s="118"/>
      <c r="T80" s="119"/>
      <c r="U80" s="119"/>
      <c r="V80" s="115"/>
    </row>
    <row r="81" spans="1:22" ht="13.5" thickBot="1">
      <c r="A81" s="329"/>
      <c r="B81" s="339"/>
      <c r="C81" s="143" t="s">
        <v>10</v>
      </c>
      <c r="D81" s="188">
        <f>'CNTNR COST'!G79</f>
        <v>0.4182</v>
      </c>
      <c r="E81" s="3">
        <v>0</v>
      </c>
      <c r="F81" s="3">
        <f>+$F$11</f>
        <v>0.0467</v>
      </c>
      <c r="G81" s="6">
        <f>ROUND(COST_UPDATE_ADJ,4)</f>
        <v>0.0192</v>
      </c>
      <c r="H81" s="6">
        <f>Energy_Addon</f>
        <v>0</v>
      </c>
      <c r="I81" s="3">
        <f t="shared" si="34"/>
        <v>0.4841</v>
      </c>
      <c r="J81" s="3">
        <f t="shared" si="38"/>
        <v>0.01755803108808296</v>
      </c>
      <c r="K81" s="5">
        <f t="shared" si="35"/>
        <v>0.5017</v>
      </c>
      <c r="L81" s="3">
        <f>$L$11</f>
        <v>-0.0839</v>
      </c>
      <c r="M81" s="3">
        <f>$M$11</f>
        <v>0.2341</v>
      </c>
      <c r="N81" s="3">
        <f t="shared" si="36"/>
        <v>0.6519</v>
      </c>
      <c r="O81" s="235"/>
      <c r="P81" s="181">
        <f t="shared" si="37"/>
        <v>0.6519</v>
      </c>
      <c r="Q81" s="117"/>
      <c r="R81" s="117"/>
      <c r="S81" s="118"/>
      <c r="T81" s="119"/>
      <c r="U81" s="119"/>
      <c r="V81" s="115"/>
    </row>
    <row r="82" spans="1:22" ht="13.5" thickBot="1">
      <c r="A82" s="329"/>
      <c r="B82" s="339"/>
      <c r="C82" s="143" t="s">
        <v>11</v>
      </c>
      <c r="D82" s="188">
        <f>'CNTNR COST'!G80</f>
        <v>0.2091</v>
      </c>
      <c r="E82" s="3">
        <v>0</v>
      </c>
      <c r="F82" s="3">
        <f>+$F$12</f>
        <v>0.0633</v>
      </c>
      <c r="G82" s="6">
        <f>ROUND($G$11/2,4)</f>
        <v>0.0096</v>
      </c>
      <c r="H82" s="6">
        <f>ROUND($H$11/2,4)</f>
        <v>0</v>
      </c>
      <c r="I82" s="3">
        <f t="shared" si="34"/>
        <v>0.282</v>
      </c>
      <c r="J82" s="3">
        <f t="shared" si="38"/>
        <v>0.010227979274611387</v>
      </c>
      <c r="K82" s="5">
        <f t="shared" si="35"/>
        <v>0.2922</v>
      </c>
      <c r="L82" s="3">
        <f>ROUND(L$11/2,4)</f>
        <v>-0.042</v>
      </c>
      <c r="M82" s="3">
        <f>ROUND(M$11/2,4)</f>
        <v>0.1171</v>
      </c>
      <c r="N82" s="3">
        <f t="shared" si="36"/>
        <v>0.3673</v>
      </c>
      <c r="O82" s="235"/>
      <c r="P82" s="181">
        <f t="shared" si="37"/>
        <v>0.3673</v>
      </c>
      <c r="Q82" s="117"/>
      <c r="R82" s="117"/>
      <c r="S82" s="118"/>
      <c r="T82" s="119"/>
      <c r="U82" s="119"/>
      <c r="V82" s="115"/>
    </row>
    <row r="83" spans="1:22" ht="13.5" thickBot="1">
      <c r="A83" s="329"/>
      <c r="B83" s="339"/>
      <c r="C83" s="143" t="s">
        <v>212</v>
      </c>
      <c r="D83" s="188">
        <f>'CNTNR COST'!G81</f>
        <v>0.2198</v>
      </c>
      <c r="E83" s="3"/>
      <c r="F83" s="3">
        <f>+$F$13</f>
        <v>0</v>
      </c>
      <c r="G83" s="6">
        <f>ROUND($G$11/32*12,4)</f>
        <v>0.0072</v>
      </c>
      <c r="H83" s="6">
        <f>ROUND($H$11/32*12,4)</f>
        <v>0</v>
      </c>
      <c r="I83" s="3">
        <f t="shared" si="34"/>
        <v>0.227</v>
      </c>
      <c r="J83" s="3">
        <f t="shared" si="38"/>
        <v>0.00823316062176166</v>
      </c>
      <c r="K83" s="5">
        <f t="shared" si="35"/>
        <v>0.2352</v>
      </c>
      <c r="L83" s="3">
        <f>ROUND(L$11/32*12,4)</f>
        <v>-0.0315</v>
      </c>
      <c r="M83" s="3">
        <f>ROUND(M$11/32*12,4)</f>
        <v>0.0878</v>
      </c>
      <c r="N83" s="3">
        <f t="shared" si="36"/>
        <v>0.2915</v>
      </c>
      <c r="O83" s="235"/>
      <c r="P83" s="181"/>
      <c r="Q83" s="117"/>
      <c r="R83" s="117"/>
      <c r="S83" s="118"/>
      <c r="T83" s="119"/>
      <c r="U83" s="119"/>
      <c r="V83" s="115"/>
    </row>
    <row r="84" spans="1:22" ht="13.5" thickBot="1">
      <c r="A84" s="329"/>
      <c r="B84" s="339"/>
      <c r="C84" s="143" t="s">
        <v>42</v>
      </c>
      <c r="D84" s="188">
        <f>'CNTNR COST'!G82</f>
        <v>0.2161</v>
      </c>
      <c r="E84" s="3">
        <v>0</v>
      </c>
      <c r="F84" s="3">
        <f>+$F$14</f>
        <v>0</v>
      </c>
      <c r="G84" s="6">
        <f>ROUND($G$11/32*10,4)</f>
        <v>0.006</v>
      </c>
      <c r="H84" s="6">
        <f>ROUND($H$11/32*10,4)</f>
        <v>0</v>
      </c>
      <c r="I84" s="3">
        <f t="shared" si="34"/>
        <v>0.2221</v>
      </c>
      <c r="J84" s="3">
        <f t="shared" si="38"/>
        <v>0.008055440414507786</v>
      </c>
      <c r="K84" s="5">
        <f t="shared" si="35"/>
        <v>0.2302</v>
      </c>
      <c r="L84" s="3">
        <f>ROUND(L$11/32*10,4)</f>
        <v>-0.0262</v>
      </c>
      <c r="M84" s="3">
        <f>ROUND(M$11/32*10,4)</f>
        <v>0.0732</v>
      </c>
      <c r="N84" s="3">
        <f t="shared" si="36"/>
        <v>0.2772</v>
      </c>
      <c r="O84" s="235"/>
      <c r="P84" s="181">
        <f t="shared" si="37"/>
        <v>0.2772</v>
      </c>
      <c r="Q84" s="117"/>
      <c r="R84" s="117"/>
      <c r="S84" s="118"/>
      <c r="T84" s="119"/>
      <c r="U84" s="119"/>
      <c r="V84" s="115"/>
    </row>
    <row r="85" spans="1:22" ht="13.5" thickBot="1">
      <c r="A85" s="329"/>
      <c r="B85" s="339"/>
      <c r="C85" s="143" t="s">
        <v>43</v>
      </c>
      <c r="D85" s="188">
        <f>'CNTNR COST'!G83</f>
        <v>0.1046</v>
      </c>
      <c r="E85" s="3">
        <v>0</v>
      </c>
      <c r="F85" s="3">
        <f>+$F$15</f>
        <v>0.0247</v>
      </c>
      <c r="G85" s="6">
        <f>ROUND($G$11/4,4)</f>
        <v>0.0048</v>
      </c>
      <c r="H85" s="6">
        <f>ROUND($H$11/4,4)</f>
        <v>0</v>
      </c>
      <c r="I85" s="3">
        <f t="shared" si="34"/>
        <v>0.1341</v>
      </c>
      <c r="J85" s="3">
        <f t="shared" si="38"/>
        <v>0.0048637305699481825</v>
      </c>
      <c r="K85" s="5">
        <f t="shared" si="35"/>
        <v>0.139</v>
      </c>
      <c r="L85" s="3">
        <f>ROUND(L$11/4,4)</f>
        <v>-0.021</v>
      </c>
      <c r="M85" s="3">
        <f>ROUND(M$11/4,4)</f>
        <v>0.0585</v>
      </c>
      <c r="N85" s="3">
        <f t="shared" si="36"/>
        <v>0.1765</v>
      </c>
      <c r="O85" s="235"/>
      <c r="P85" s="181">
        <f t="shared" si="37"/>
        <v>0.1765</v>
      </c>
      <c r="Q85" s="117"/>
      <c r="R85" s="117"/>
      <c r="S85" s="118"/>
      <c r="T85" s="119"/>
      <c r="U85" s="119"/>
      <c r="V85" s="115"/>
    </row>
    <row r="86" spans="1:22" ht="13.5" thickBot="1">
      <c r="A86" s="329"/>
      <c r="B86" s="339"/>
      <c r="C86" s="143" t="s">
        <v>44</v>
      </c>
      <c r="D86" s="188">
        <f>'CNTNR COST'!G84</f>
        <v>0.0908</v>
      </c>
      <c r="E86" s="3">
        <v>0</v>
      </c>
      <c r="F86" s="3">
        <f>+$F$16</f>
        <v>0.0414</v>
      </c>
      <c r="G86" s="6">
        <f>ROUND($G$11/8,4)</f>
        <v>0.0024</v>
      </c>
      <c r="H86" s="6">
        <f>ROUND($H$11/8,4)</f>
        <v>0</v>
      </c>
      <c r="I86" s="3">
        <f t="shared" si="34"/>
        <v>0.1346</v>
      </c>
      <c r="J86" s="3">
        <f t="shared" si="38"/>
        <v>0.004881865284974085</v>
      </c>
      <c r="K86" s="5">
        <f t="shared" si="35"/>
        <v>0.1395</v>
      </c>
      <c r="L86" s="3">
        <f>ROUND(L$11/8,4)</f>
        <v>-0.0105</v>
      </c>
      <c r="M86" s="3">
        <f>ROUND(M$11/8,4)</f>
        <v>0.0293</v>
      </c>
      <c r="N86" s="3">
        <f t="shared" si="36"/>
        <v>0.1583</v>
      </c>
      <c r="O86" s="235"/>
      <c r="P86" s="181">
        <f t="shared" si="37"/>
        <v>0.1583</v>
      </c>
      <c r="Q86" s="117"/>
      <c r="R86" s="117"/>
      <c r="S86" s="118"/>
      <c r="T86" s="119"/>
      <c r="U86" s="119"/>
      <c r="V86" s="115"/>
    </row>
    <row r="87" spans="1:22" ht="13.5" thickBot="1">
      <c r="A87" s="330"/>
      <c r="B87" s="340"/>
      <c r="C87" s="143" t="s">
        <v>64</v>
      </c>
      <c r="D87" s="191">
        <f>'CNTNR COST'!G85</f>
        <v>0.4963</v>
      </c>
      <c r="E87" s="183">
        <v>0</v>
      </c>
      <c r="F87" s="183">
        <f>+$F$17</f>
        <v>0.1682</v>
      </c>
      <c r="G87" s="192">
        <f>ROUND($G$11,6)</f>
        <v>0.0192</v>
      </c>
      <c r="H87" s="192">
        <f>ROUND($H$11,6)</f>
        <v>0</v>
      </c>
      <c r="I87" s="183">
        <f t="shared" si="34"/>
        <v>0.6837</v>
      </c>
      <c r="J87" s="183">
        <f t="shared" si="38"/>
        <v>0.024797409326424935</v>
      </c>
      <c r="K87" s="184">
        <f t="shared" si="35"/>
        <v>0.7085</v>
      </c>
      <c r="L87" s="183">
        <f>L$11</f>
        <v>-0.0839</v>
      </c>
      <c r="M87" s="183">
        <f>M$11</f>
        <v>0.2341</v>
      </c>
      <c r="N87" s="183">
        <f t="shared" si="36"/>
        <v>0.8587</v>
      </c>
      <c r="O87" s="236"/>
      <c r="P87" s="185">
        <f t="shared" si="37"/>
        <v>0.8587</v>
      </c>
      <c r="Q87" s="117"/>
      <c r="R87" s="117"/>
      <c r="S87" s="118"/>
      <c r="T87" s="119"/>
      <c r="U87" s="119"/>
      <c r="V87" s="115"/>
    </row>
    <row r="88" spans="1:22" ht="14.25" thickBot="1" thickTop="1">
      <c r="A88" s="231"/>
      <c r="B88" s="232"/>
      <c r="C88" s="113"/>
      <c r="Q88" s="117"/>
      <c r="R88" s="117"/>
      <c r="S88" s="115"/>
      <c r="T88" s="115"/>
      <c r="U88" s="115"/>
      <c r="V88" s="115"/>
    </row>
    <row r="89" spans="1:22" ht="14.25" thickBot="1" thickTop="1">
      <c r="A89" s="334" t="s">
        <v>191</v>
      </c>
      <c r="B89" s="338"/>
      <c r="C89" s="143" t="s">
        <v>9</v>
      </c>
      <c r="D89" s="189">
        <f>'CNTNR COST'!G87</f>
        <v>3.3772</v>
      </c>
      <c r="E89" s="178">
        <v>0</v>
      </c>
      <c r="F89" s="178">
        <f>+$F$9</f>
        <v>-0.1067</v>
      </c>
      <c r="G89" s="190">
        <f>ROUND($G$11*4,6)</f>
        <v>0.0768</v>
      </c>
      <c r="H89" s="190">
        <f>ROUND($H$11*4,6)</f>
        <v>0</v>
      </c>
      <c r="I89" s="178">
        <f>ROUND(SUM(D89:H89),4)</f>
        <v>3.3473</v>
      </c>
      <c r="J89" s="178">
        <f>(I89/(1-$J$5))-I89</f>
        <v>0.12140466321243526</v>
      </c>
      <c r="K89" s="179">
        <f>ROUND(I89+J89,4)</f>
        <v>3.4687</v>
      </c>
      <c r="L89" s="178">
        <f>ROUND(L$11*4,4)</f>
        <v>-0.3356</v>
      </c>
      <c r="M89" s="178">
        <f>ROUND(M$11*4,4)</f>
        <v>0.9364</v>
      </c>
      <c r="N89" s="178">
        <f aca="true" t="shared" si="39" ref="N89:N97">ROUND(SUM(K89:M89),4)</f>
        <v>4.0695</v>
      </c>
      <c r="O89" s="234"/>
      <c r="P89" s="180">
        <f aca="true" t="shared" si="40" ref="P89:P97">N89-O89</f>
        <v>4.0695</v>
      </c>
      <c r="Q89" s="117"/>
      <c r="R89" s="117"/>
      <c r="S89" s="118"/>
      <c r="T89" s="119"/>
      <c r="U89" s="119"/>
      <c r="V89" s="115"/>
    </row>
    <row r="90" spans="1:22" ht="13.5" thickBot="1">
      <c r="A90" s="329"/>
      <c r="B90" s="339"/>
      <c r="C90" s="143" t="s">
        <v>41</v>
      </c>
      <c r="D90" s="188">
        <f>'CNTNR COST'!G88</f>
        <v>1.6886</v>
      </c>
      <c r="E90" s="3">
        <v>0</v>
      </c>
      <c r="F90" s="3">
        <f>+$F$10</f>
        <v>-0.0317</v>
      </c>
      <c r="G90" s="6">
        <f>ROUND($G$11*2,6)</f>
        <v>0.0384</v>
      </c>
      <c r="H90" s="6">
        <f>ROUND($H$11*2,6)</f>
        <v>0</v>
      </c>
      <c r="I90" s="3">
        <f aca="true" t="shared" si="41" ref="I90:I97">ROUND(SUM(D90:H90),4)</f>
        <v>1.6953</v>
      </c>
      <c r="J90" s="3">
        <f t="shared" si="38"/>
        <v>0.061487564766839364</v>
      </c>
      <c r="K90" s="5">
        <f aca="true" t="shared" si="42" ref="K90:K97">ROUND(I90+J90,4)</f>
        <v>1.7568</v>
      </c>
      <c r="L90" s="3">
        <f>ROUND(L$11*2,4)</f>
        <v>-0.1678</v>
      </c>
      <c r="M90" s="3">
        <f>ROUND(M$11*2,4)</f>
        <v>0.4682</v>
      </c>
      <c r="N90" s="3">
        <f t="shared" si="39"/>
        <v>2.0572</v>
      </c>
      <c r="O90" s="235"/>
      <c r="P90" s="181">
        <f t="shared" si="40"/>
        <v>2.0572</v>
      </c>
      <c r="Q90" s="117"/>
      <c r="R90" s="117"/>
      <c r="S90" s="118"/>
      <c r="T90" s="119"/>
      <c r="U90" s="119"/>
      <c r="V90" s="115"/>
    </row>
    <row r="91" spans="1:22" ht="13.5" thickBot="1">
      <c r="A91" s="329"/>
      <c r="B91" s="339"/>
      <c r="C91" s="143" t="s">
        <v>10</v>
      </c>
      <c r="D91" s="188">
        <f>'CNTNR COST'!G89</f>
        <v>0.8443</v>
      </c>
      <c r="E91" s="3">
        <v>0</v>
      </c>
      <c r="F91" s="3">
        <f>+$F$11</f>
        <v>0.0467</v>
      </c>
      <c r="G91" s="6">
        <f>ROUND(COST_UPDATE_ADJ,4)</f>
        <v>0.0192</v>
      </c>
      <c r="H91" s="6">
        <f>Energy_Addon</f>
        <v>0</v>
      </c>
      <c r="I91" s="3">
        <f t="shared" si="41"/>
        <v>0.9102</v>
      </c>
      <c r="J91" s="3">
        <f t="shared" si="38"/>
        <v>0.033012435233160664</v>
      </c>
      <c r="K91" s="5">
        <f t="shared" si="42"/>
        <v>0.9432</v>
      </c>
      <c r="L91" s="3">
        <f>$L$11</f>
        <v>-0.0839</v>
      </c>
      <c r="M91" s="3">
        <f>$M$11</f>
        <v>0.2341</v>
      </c>
      <c r="N91" s="3">
        <f t="shared" si="39"/>
        <v>1.0934</v>
      </c>
      <c r="O91" s="235"/>
      <c r="P91" s="181">
        <f t="shared" si="40"/>
        <v>1.0934</v>
      </c>
      <c r="Q91" s="117"/>
      <c r="R91" s="117"/>
      <c r="S91" s="118"/>
      <c r="T91" s="119"/>
      <c r="U91" s="119"/>
      <c r="V91" s="115"/>
    </row>
    <row r="92" spans="1:22" ht="13.5" thickBot="1">
      <c r="A92" s="329"/>
      <c r="B92" s="339"/>
      <c r="C92" s="143" t="s">
        <v>11</v>
      </c>
      <c r="D92" s="188">
        <f>'CNTNR COST'!G90</f>
        <v>0.4222</v>
      </c>
      <c r="E92" s="3">
        <v>0</v>
      </c>
      <c r="F92" s="3">
        <f>+$F$12</f>
        <v>0.0633</v>
      </c>
      <c r="G92" s="6">
        <f>ROUND($G$11/2,4)</f>
        <v>0.0096</v>
      </c>
      <c r="H92" s="6">
        <f>ROUND($H$11/2,4)</f>
        <v>0</v>
      </c>
      <c r="I92" s="3">
        <f t="shared" si="41"/>
        <v>0.4951</v>
      </c>
      <c r="J92" s="3">
        <f t="shared" si="38"/>
        <v>0.01795699481865287</v>
      </c>
      <c r="K92" s="5">
        <f t="shared" si="42"/>
        <v>0.5131</v>
      </c>
      <c r="L92" s="3">
        <f>ROUND(L$11/2,4)</f>
        <v>-0.042</v>
      </c>
      <c r="M92" s="3">
        <f>ROUND(M$11/2,4)</f>
        <v>0.1171</v>
      </c>
      <c r="N92" s="3">
        <f t="shared" si="39"/>
        <v>0.5882</v>
      </c>
      <c r="O92" s="235"/>
      <c r="P92" s="181">
        <f t="shared" si="40"/>
        <v>0.5882</v>
      </c>
      <c r="Q92" s="117"/>
      <c r="R92" s="117"/>
      <c r="S92" s="118"/>
      <c r="T92" s="119"/>
      <c r="U92" s="119"/>
      <c r="V92" s="115"/>
    </row>
    <row r="93" spans="1:22" ht="13.5" thickBot="1">
      <c r="A93" s="329"/>
      <c r="B93" s="339"/>
      <c r="C93" s="143" t="s">
        <v>212</v>
      </c>
      <c r="D93" s="188">
        <f>'CNTNR COST'!G91</f>
        <v>0.3796</v>
      </c>
      <c r="E93" s="3"/>
      <c r="F93" s="3">
        <f>+$F$13</f>
        <v>0</v>
      </c>
      <c r="G93" s="6">
        <f>ROUND($G$11/32*12,4)</f>
        <v>0.0072</v>
      </c>
      <c r="H93" s="6">
        <f>ROUND($H$11/32*12,4)</f>
        <v>0</v>
      </c>
      <c r="I93" s="3">
        <f t="shared" si="41"/>
        <v>0.3868</v>
      </c>
      <c r="J93" s="3">
        <f t="shared" si="38"/>
        <v>0.014029015544041457</v>
      </c>
      <c r="K93" s="5">
        <f t="shared" si="42"/>
        <v>0.4008</v>
      </c>
      <c r="L93" s="3">
        <f>ROUND(L$11/32*12,4)</f>
        <v>-0.0315</v>
      </c>
      <c r="M93" s="3">
        <f>ROUND(M$11/32*12,4)</f>
        <v>0.0878</v>
      </c>
      <c r="N93" s="3">
        <f t="shared" si="39"/>
        <v>0.4571</v>
      </c>
      <c r="O93" s="235"/>
      <c r="P93" s="181"/>
      <c r="Q93" s="117"/>
      <c r="R93" s="117"/>
      <c r="S93" s="118"/>
      <c r="T93" s="119"/>
      <c r="U93" s="119"/>
      <c r="V93" s="115"/>
    </row>
    <row r="94" spans="1:22" ht="13.5" thickBot="1">
      <c r="A94" s="329"/>
      <c r="B94" s="339"/>
      <c r="C94" s="143" t="s">
        <v>42</v>
      </c>
      <c r="D94" s="188">
        <f>'CNTNR COST'!G92</f>
        <v>0.3493</v>
      </c>
      <c r="E94" s="3">
        <v>0</v>
      </c>
      <c r="F94" s="3">
        <f>+$F$14</f>
        <v>0</v>
      </c>
      <c r="G94" s="6">
        <f>ROUND($G$11/32*10,4)</f>
        <v>0.006</v>
      </c>
      <c r="H94" s="6">
        <f>ROUND($H$11/32*10,4)</f>
        <v>0</v>
      </c>
      <c r="I94" s="3">
        <f t="shared" si="41"/>
        <v>0.3553</v>
      </c>
      <c r="J94" s="3">
        <f t="shared" si="38"/>
        <v>0.012886528497409344</v>
      </c>
      <c r="K94" s="5">
        <f t="shared" si="42"/>
        <v>0.3682</v>
      </c>
      <c r="L94" s="3">
        <f>ROUND(L$11/32*10,4)</f>
        <v>-0.0262</v>
      </c>
      <c r="M94" s="3">
        <f>ROUND(M$11/32*10,4)</f>
        <v>0.0732</v>
      </c>
      <c r="N94" s="3">
        <f t="shared" si="39"/>
        <v>0.4152</v>
      </c>
      <c r="O94" s="235"/>
      <c r="P94" s="181">
        <f t="shared" si="40"/>
        <v>0.4152</v>
      </c>
      <c r="Q94" s="117"/>
      <c r="R94" s="117"/>
      <c r="S94" s="118"/>
      <c r="T94" s="119"/>
      <c r="U94" s="119"/>
      <c r="V94" s="115"/>
    </row>
    <row r="95" spans="1:22" ht="13.5" thickBot="1">
      <c r="A95" s="329"/>
      <c r="B95" s="339"/>
      <c r="C95" s="143" t="s">
        <v>43</v>
      </c>
      <c r="D95" s="188">
        <f>'CNTNR COST'!G93</f>
        <v>0.2111</v>
      </c>
      <c r="E95" s="3">
        <v>0</v>
      </c>
      <c r="F95" s="3">
        <f>+$F$15</f>
        <v>0.0247</v>
      </c>
      <c r="G95" s="6">
        <f>ROUND($G$11/4,4)</f>
        <v>0.0048</v>
      </c>
      <c r="H95" s="6">
        <f>ROUND($H$11/4,4)</f>
        <v>0</v>
      </c>
      <c r="I95" s="3">
        <f t="shared" si="41"/>
        <v>0.2406</v>
      </c>
      <c r="J95" s="3">
        <f t="shared" si="38"/>
        <v>0.00872642487046632</v>
      </c>
      <c r="K95" s="5">
        <f t="shared" si="42"/>
        <v>0.2493</v>
      </c>
      <c r="L95" s="3">
        <f>ROUND(L$11/4,4)</f>
        <v>-0.021</v>
      </c>
      <c r="M95" s="3">
        <f>ROUND(M$11/4,4)</f>
        <v>0.0585</v>
      </c>
      <c r="N95" s="3">
        <f t="shared" si="39"/>
        <v>0.2868</v>
      </c>
      <c r="O95" s="235"/>
      <c r="P95" s="181">
        <f t="shared" si="40"/>
        <v>0.2868</v>
      </c>
      <c r="Q95" s="117"/>
      <c r="R95" s="117"/>
      <c r="S95" s="118"/>
      <c r="T95" s="119"/>
      <c r="U95" s="119"/>
      <c r="V95" s="115"/>
    </row>
    <row r="96" spans="1:22" ht="13.5" thickBot="1">
      <c r="A96" s="329"/>
      <c r="B96" s="339"/>
      <c r="C96" s="143" t="s">
        <v>44</v>
      </c>
      <c r="D96" s="188">
        <f>'CNTNR COST'!G94</f>
        <v>0.1441</v>
      </c>
      <c r="E96" s="3">
        <v>0</v>
      </c>
      <c r="F96" s="3">
        <f>+$F$16</f>
        <v>0.0414</v>
      </c>
      <c r="G96" s="6">
        <f>ROUND($G$11/8,4)</f>
        <v>0.0024</v>
      </c>
      <c r="H96" s="6">
        <f>ROUND($H$11/8,4)</f>
        <v>0</v>
      </c>
      <c r="I96" s="3">
        <f t="shared" si="41"/>
        <v>0.1879</v>
      </c>
      <c r="J96" s="3">
        <f t="shared" si="38"/>
        <v>0.006815025906735744</v>
      </c>
      <c r="K96" s="5">
        <f t="shared" si="42"/>
        <v>0.1947</v>
      </c>
      <c r="L96" s="3">
        <f>ROUND(L$11/8,4)</f>
        <v>-0.0105</v>
      </c>
      <c r="M96" s="3">
        <f>ROUND(M$11/8,4)</f>
        <v>0.0293</v>
      </c>
      <c r="N96" s="3">
        <f t="shared" si="39"/>
        <v>0.2135</v>
      </c>
      <c r="O96" s="235"/>
      <c r="P96" s="181">
        <f t="shared" si="40"/>
        <v>0.2135</v>
      </c>
      <c r="Q96" s="117"/>
      <c r="R96" s="117"/>
      <c r="S96" s="118"/>
      <c r="T96" s="119"/>
      <c r="U96" s="119"/>
      <c r="V96" s="115"/>
    </row>
    <row r="97" spans="1:22" ht="13.5" thickBot="1">
      <c r="A97" s="330"/>
      <c r="B97" s="340"/>
      <c r="C97" s="143" t="s">
        <v>64</v>
      </c>
      <c r="D97" s="191">
        <f>'CNTNR COST'!G95</f>
        <v>0.9224</v>
      </c>
      <c r="E97" s="183">
        <v>0</v>
      </c>
      <c r="F97" s="183">
        <f>+$F$17</f>
        <v>0.1682</v>
      </c>
      <c r="G97" s="192">
        <f>ROUND($G$11,6)</f>
        <v>0.0192</v>
      </c>
      <c r="H97" s="192">
        <f>ROUND($H$11,6)</f>
        <v>0</v>
      </c>
      <c r="I97" s="183">
        <f t="shared" si="41"/>
        <v>1.1098</v>
      </c>
      <c r="J97" s="183">
        <f t="shared" si="38"/>
        <v>0.04025181347150264</v>
      </c>
      <c r="K97" s="184">
        <f t="shared" si="42"/>
        <v>1.1501</v>
      </c>
      <c r="L97" s="183">
        <f>L$11</f>
        <v>-0.0839</v>
      </c>
      <c r="M97" s="183">
        <f>M$11</f>
        <v>0.2341</v>
      </c>
      <c r="N97" s="183">
        <f t="shared" si="39"/>
        <v>1.3003</v>
      </c>
      <c r="O97" s="236"/>
      <c r="P97" s="185">
        <f t="shared" si="40"/>
        <v>1.3003</v>
      </c>
      <c r="Q97" s="117"/>
      <c r="R97" s="117"/>
      <c r="S97" s="118"/>
      <c r="T97" s="119"/>
      <c r="U97" s="119"/>
      <c r="V97" s="115"/>
    </row>
    <row r="98" spans="1:22" ht="14.25" thickBot="1" thickTop="1">
      <c r="A98" s="230"/>
      <c r="B98" s="232"/>
      <c r="C98" s="233"/>
      <c r="Q98" s="117"/>
      <c r="R98" s="117"/>
      <c r="S98" s="115"/>
      <c r="T98" s="115"/>
      <c r="U98" s="115"/>
      <c r="V98" s="115"/>
    </row>
    <row r="99" spans="1:22" ht="14.25" thickBot="1" thickTop="1">
      <c r="A99" s="334" t="s">
        <v>46</v>
      </c>
      <c r="B99" s="338"/>
      <c r="C99" s="143" t="s">
        <v>41</v>
      </c>
      <c r="D99" s="193">
        <f>'CNTNR COST'!G97</f>
        <v>0.6902</v>
      </c>
      <c r="E99" s="178">
        <f>E100*2</f>
        <v>0.3956</v>
      </c>
      <c r="F99" s="178">
        <f>+$F$10</f>
        <v>-0.0317</v>
      </c>
      <c r="G99" s="6">
        <f>ROUND($G$11*2,6)</f>
        <v>0.0384</v>
      </c>
      <c r="H99" s="6">
        <f>ROUND($H$11*2,6)</f>
        <v>0</v>
      </c>
      <c r="I99" s="178">
        <f>ROUND(SUM(D99:H99),4)</f>
        <v>1.0925</v>
      </c>
      <c r="J99" s="178">
        <f t="shared" si="38"/>
        <v>0.039624352331606216</v>
      </c>
      <c r="K99" s="179">
        <f>ROUND(I99+J99,4)</f>
        <v>1.1321</v>
      </c>
      <c r="L99" s="178">
        <f>ROUND(L$11*2,4)</f>
        <v>-0.1678</v>
      </c>
      <c r="M99" s="178">
        <f>ROUND(M$11*2,4)</f>
        <v>0.4682</v>
      </c>
      <c r="N99" s="178">
        <f aca="true" t="shared" si="43" ref="N99:N109">ROUND(SUM(K99:M99),4)</f>
        <v>1.4325</v>
      </c>
      <c r="O99" s="234"/>
      <c r="P99" s="180">
        <f>N99-O99</f>
        <v>1.4325</v>
      </c>
      <c r="Q99" s="117"/>
      <c r="R99" s="117"/>
      <c r="S99" s="118"/>
      <c r="T99" s="119"/>
      <c r="U99" s="119"/>
      <c r="V99" s="115"/>
    </row>
    <row r="100" spans="1:22" ht="13.5" thickBot="1">
      <c r="A100" s="329"/>
      <c r="B100" s="339"/>
      <c r="C100" s="143" t="s">
        <v>10</v>
      </c>
      <c r="D100" s="194">
        <f>'CNTNR COST'!G98</f>
        <v>0.3451</v>
      </c>
      <c r="E100" s="3">
        <f>H_AND_H_ADDON</f>
        <v>0.1978</v>
      </c>
      <c r="F100" s="3">
        <f>+$F$11</f>
        <v>0.0467</v>
      </c>
      <c r="G100" s="6">
        <f>ROUND(COST_UPDATE_ADJ,4)</f>
        <v>0.0192</v>
      </c>
      <c r="H100" s="6">
        <f>Energy_Addon</f>
        <v>0</v>
      </c>
      <c r="I100" s="3">
        <f aca="true" t="shared" si="44" ref="I100:I109">ROUND(SUM(D100:H100),4)</f>
        <v>0.6088</v>
      </c>
      <c r="J100" s="3">
        <f t="shared" si="38"/>
        <v>0.02208082901554409</v>
      </c>
      <c r="K100" s="5">
        <f aca="true" t="shared" si="45" ref="K100:K108">ROUND(I100+J100,4)</f>
        <v>0.6309</v>
      </c>
      <c r="L100" s="3">
        <f>$L$11</f>
        <v>-0.0839</v>
      </c>
      <c r="M100" s="3">
        <f>$M$11</f>
        <v>0.2341</v>
      </c>
      <c r="N100" s="3">
        <f t="shared" si="43"/>
        <v>0.7811</v>
      </c>
      <c r="O100" s="235"/>
      <c r="P100" s="181">
        <f>N100-O100</f>
        <v>0.7811</v>
      </c>
      <c r="Q100" s="117"/>
      <c r="R100" s="117"/>
      <c r="S100" s="118"/>
      <c r="T100" s="119"/>
      <c r="U100" s="119"/>
      <c r="V100" s="115"/>
    </row>
    <row r="101" spans="1:22" ht="13.5" thickBot="1">
      <c r="A101" s="329"/>
      <c r="B101" s="339"/>
      <c r="C101" s="143" t="s">
        <v>11</v>
      </c>
      <c r="D101" s="194">
        <f>'CNTNR COST'!G99</f>
        <v>0.1726</v>
      </c>
      <c r="E101" s="3">
        <f>E100/2</f>
        <v>0.0989</v>
      </c>
      <c r="F101" s="3">
        <f>+$F$12</f>
        <v>0.0633</v>
      </c>
      <c r="G101" s="6">
        <f>ROUND($G$11/2,4)</f>
        <v>0.0096</v>
      </c>
      <c r="H101" s="6">
        <f>ROUND($H$11/2,4)</f>
        <v>0</v>
      </c>
      <c r="I101" s="3">
        <f t="shared" si="44"/>
        <v>0.3444</v>
      </c>
      <c r="J101" s="3">
        <f t="shared" si="38"/>
        <v>0.012491191709844585</v>
      </c>
      <c r="K101" s="5">
        <f t="shared" si="45"/>
        <v>0.3569</v>
      </c>
      <c r="L101" s="3">
        <f>ROUND(L$11/2,4)</f>
        <v>-0.042</v>
      </c>
      <c r="M101" s="3">
        <f>ROUND(M$11/2,4)</f>
        <v>0.1171</v>
      </c>
      <c r="N101" s="3">
        <f t="shared" si="43"/>
        <v>0.432</v>
      </c>
      <c r="O101" s="235"/>
      <c r="P101" s="181">
        <f aca="true" t="shared" si="46" ref="P101:P108">N101-O101</f>
        <v>0.432</v>
      </c>
      <c r="Q101" s="117"/>
      <c r="R101" s="117"/>
      <c r="S101" s="118"/>
      <c r="T101" s="119"/>
      <c r="U101" s="119"/>
      <c r="V101" s="115"/>
    </row>
    <row r="102" spans="1:22" ht="13.5" thickBot="1">
      <c r="A102" s="329"/>
      <c r="B102" s="339"/>
      <c r="C102" s="143" t="s">
        <v>212</v>
      </c>
      <c r="D102" s="194">
        <f>'CNTNR COST'!G100</f>
        <v>0.1924</v>
      </c>
      <c r="E102" s="3">
        <f>E100/32*12</f>
        <v>0.074175</v>
      </c>
      <c r="F102" s="3">
        <f>+$F$13</f>
        <v>0</v>
      </c>
      <c r="G102" s="6">
        <f>ROUND($G$11/32*12,4)</f>
        <v>0.0072</v>
      </c>
      <c r="H102" s="6">
        <f>ROUND($H$11/32*12,4)</f>
        <v>0</v>
      </c>
      <c r="I102" s="3">
        <f t="shared" si="44"/>
        <v>0.2738</v>
      </c>
      <c r="J102" s="3">
        <f t="shared" si="38"/>
        <v>0.00993056994818653</v>
      </c>
      <c r="K102" s="5">
        <f t="shared" si="45"/>
        <v>0.2837</v>
      </c>
      <c r="L102" s="3">
        <f>ROUND(L$11/32*12,4)</f>
        <v>-0.0315</v>
      </c>
      <c r="M102" s="3">
        <f>ROUND(M$11/32*12,4)</f>
        <v>0.0878</v>
      </c>
      <c r="N102" s="3">
        <f t="shared" si="43"/>
        <v>0.34</v>
      </c>
      <c r="O102" s="235"/>
      <c r="P102" s="181"/>
      <c r="Q102" s="117"/>
      <c r="R102" s="117"/>
      <c r="S102" s="118"/>
      <c r="T102" s="119"/>
      <c r="U102" s="119"/>
      <c r="V102" s="115"/>
    </row>
    <row r="103" spans="1:22" ht="13.5" thickBot="1">
      <c r="A103" s="329"/>
      <c r="B103" s="339"/>
      <c r="C103" s="143" t="s">
        <v>42</v>
      </c>
      <c r="D103" s="194">
        <f>'CNTNR COST'!G101</f>
        <v>0.1933</v>
      </c>
      <c r="E103" s="3">
        <f>E100/32*10</f>
        <v>0.0618125</v>
      </c>
      <c r="F103" s="3">
        <f>+$F$14</f>
        <v>0</v>
      </c>
      <c r="G103" s="6">
        <f>ROUND($G$11/32*10,4)</f>
        <v>0.006</v>
      </c>
      <c r="H103" s="6">
        <f>ROUND($H$11/32*10,4)</f>
        <v>0</v>
      </c>
      <c r="I103" s="3">
        <f t="shared" si="44"/>
        <v>0.2611</v>
      </c>
      <c r="J103" s="3">
        <f t="shared" si="38"/>
        <v>0.00946994818652852</v>
      </c>
      <c r="K103" s="5">
        <f t="shared" si="45"/>
        <v>0.2706</v>
      </c>
      <c r="L103" s="3">
        <f>ROUND(L$11/32*10,4)</f>
        <v>-0.0262</v>
      </c>
      <c r="M103" s="3">
        <f>ROUND(M$11/32*10,4)</f>
        <v>0.0732</v>
      </c>
      <c r="N103" s="3">
        <f t="shared" si="43"/>
        <v>0.3176</v>
      </c>
      <c r="O103" s="235"/>
      <c r="P103" s="181">
        <f t="shared" si="46"/>
        <v>0.3176</v>
      </c>
      <c r="Q103" s="117"/>
      <c r="R103" s="117"/>
      <c r="S103" s="118"/>
      <c r="T103" s="119"/>
      <c r="U103" s="119"/>
      <c r="V103" s="115"/>
    </row>
    <row r="104" spans="1:22" ht="13.5" thickBot="1">
      <c r="A104" s="329"/>
      <c r="B104" s="339"/>
      <c r="C104" s="143" t="s">
        <v>43</v>
      </c>
      <c r="D104" s="194">
        <f>'CNTNR COST'!G102</f>
        <v>0.0863</v>
      </c>
      <c r="E104" s="3">
        <f>E100/4</f>
        <v>0.04945</v>
      </c>
      <c r="F104" s="3">
        <f>+$F$15</f>
        <v>0.0247</v>
      </c>
      <c r="G104" s="6">
        <f>ROUND($G$11/4,4)</f>
        <v>0.0048</v>
      </c>
      <c r="H104" s="6">
        <f>ROUND($H$11/4,4)</f>
        <v>0</v>
      </c>
      <c r="I104" s="3">
        <f t="shared" si="44"/>
        <v>0.1653</v>
      </c>
      <c r="J104" s="3">
        <f t="shared" si="38"/>
        <v>0.005995336787564781</v>
      </c>
      <c r="K104" s="5">
        <f t="shared" si="45"/>
        <v>0.1713</v>
      </c>
      <c r="L104" s="3">
        <f>ROUND(L$11/4,4)</f>
        <v>-0.021</v>
      </c>
      <c r="M104" s="3">
        <f>ROUND(M$11/4,4)</f>
        <v>0.0585</v>
      </c>
      <c r="N104" s="3">
        <f t="shared" si="43"/>
        <v>0.2088</v>
      </c>
      <c r="O104" s="235"/>
      <c r="P104" s="181">
        <f t="shared" si="46"/>
        <v>0.2088</v>
      </c>
      <c r="Q104" s="117"/>
      <c r="R104" s="117"/>
      <c r="S104" s="118"/>
      <c r="T104" s="119"/>
      <c r="U104" s="119"/>
      <c r="V104" s="115"/>
    </row>
    <row r="105" spans="1:22" ht="13.5" thickBot="1">
      <c r="A105" s="329"/>
      <c r="B105" s="339"/>
      <c r="C105" s="143" t="s">
        <v>44</v>
      </c>
      <c r="D105" s="194">
        <f>'CNTNR COST'!G103</f>
        <v>0.0817</v>
      </c>
      <c r="E105" s="3">
        <f>E100/8</f>
        <v>0.024725</v>
      </c>
      <c r="F105" s="3">
        <f>+$F$16</f>
        <v>0.0414</v>
      </c>
      <c r="G105" s="6">
        <f>ROUND($G$11/8,4)</f>
        <v>0.0024</v>
      </c>
      <c r="H105" s="6">
        <f>ROUND($H$11/8,4)</f>
        <v>0</v>
      </c>
      <c r="I105" s="3">
        <f t="shared" si="44"/>
        <v>0.1502</v>
      </c>
      <c r="J105" s="3">
        <f t="shared" si="38"/>
        <v>0.005447668393782384</v>
      </c>
      <c r="K105" s="5">
        <f t="shared" si="45"/>
        <v>0.1556</v>
      </c>
      <c r="L105" s="3">
        <f>ROUND(L$11/8,4)</f>
        <v>-0.0105</v>
      </c>
      <c r="M105" s="3">
        <f>ROUND(M$11/8,4)</f>
        <v>0.0293</v>
      </c>
      <c r="N105" s="3">
        <f t="shared" si="43"/>
        <v>0.1744</v>
      </c>
      <c r="O105" s="235"/>
      <c r="P105" s="181">
        <f t="shared" si="46"/>
        <v>0.1744</v>
      </c>
      <c r="Q105" s="117"/>
      <c r="R105" s="117"/>
      <c r="S105" s="118"/>
      <c r="T105" s="119"/>
      <c r="U105" s="119"/>
      <c r="V105" s="115"/>
    </row>
    <row r="106" spans="1:22" ht="13.5" thickBot="1">
      <c r="A106" s="329"/>
      <c r="B106" s="339"/>
      <c r="C106" s="143" t="s">
        <v>64</v>
      </c>
      <c r="D106" s="194">
        <f>'CNTNR COST'!G104</f>
        <v>0.4232</v>
      </c>
      <c r="E106" s="3">
        <f>E100</f>
        <v>0.1978</v>
      </c>
      <c r="F106" s="3">
        <f>+$F$17</f>
        <v>0.1682</v>
      </c>
      <c r="G106" s="192">
        <f>ROUND($G$11,6)</f>
        <v>0.0192</v>
      </c>
      <c r="H106" s="192">
        <f>ROUND($H$11,6)</f>
        <v>0</v>
      </c>
      <c r="I106" s="3">
        <f t="shared" si="44"/>
        <v>0.8084</v>
      </c>
      <c r="J106" s="3">
        <f t="shared" si="38"/>
        <v>0.029320207253886066</v>
      </c>
      <c r="K106" s="5">
        <f t="shared" si="45"/>
        <v>0.8377</v>
      </c>
      <c r="L106" s="3">
        <f>L$11</f>
        <v>-0.0839</v>
      </c>
      <c r="M106" s="3">
        <f>M$11</f>
        <v>0.2341</v>
      </c>
      <c r="N106" s="3">
        <f t="shared" si="43"/>
        <v>0.9879</v>
      </c>
      <c r="O106" s="235"/>
      <c r="P106" s="181">
        <f t="shared" si="46"/>
        <v>0.9879</v>
      </c>
      <c r="Q106" s="117"/>
      <c r="R106" s="117"/>
      <c r="S106" s="118"/>
      <c r="T106" s="119"/>
      <c r="U106" s="119"/>
      <c r="V106" s="115"/>
    </row>
    <row r="107" spans="1:22" ht="13.5" thickBot="1">
      <c r="A107" s="329"/>
      <c r="B107" s="339"/>
      <c r="C107" s="143" t="s">
        <v>47</v>
      </c>
      <c r="D107" s="194">
        <f>'CNTNR COST'!G105</f>
        <v>0.004</v>
      </c>
      <c r="E107" s="3">
        <f>E108/4*3</f>
        <v>0.01005</v>
      </c>
      <c r="F107" s="3"/>
      <c r="G107" s="6">
        <f>ROUND(G100/32*3/8,4)</f>
        <v>0.0002</v>
      </c>
      <c r="H107" s="6">
        <f>ROUND(H100/32*3/8,4)</f>
        <v>0</v>
      </c>
      <c r="I107" s="3">
        <f t="shared" si="44"/>
        <v>0.0143</v>
      </c>
      <c r="J107" s="3">
        <f t="shared" si="38"/>
        <v>0.0005186528497409335</v>
      </c>
      <c r="K107" s="5">
        <f t="shared" si="45"/>
        <v>0.0148</v>
      </c>
      <c r="L107" s="3">
        <f>ROUND(L105/32*3,4)</f>
        <v>-0.001</v>
      </c>
      <c r="M107" s="3">
        <f>ROUND(M105/32*3,4)</f>
        <v>0.0027</v>
      </c>
      <c r="N107" s="3">
        <f t="shared" si="43"/>
        <v>0.0165</v>
      </c>
      <c r="O107" s="235"/>
      <c r="P107" s="181">
        <f t="shared" si="46"/>
        <v>0.0165</v>
      </c>
      <c r="Q107" s="117"/>
      <c r="R107" s="117"/>
      <c r="S107" s="118"/>
      <c r="T107" s="119"/>
      <c r="U107" s="119"/>
      <c r="V107" s="115"/>
    </row>
    <row r="108" spans="1:22" ht="13.5" thickBot="1">
      <c r="A108" s="341"/>
      <c r="B108" s="342"/>
      <c r="C108" s="143" t="s">
        <v>48</v>
      </c>
      <c r="D108" s="194">
        <f>'CNTNR COST'!G106</f>
        <v>0.0054</v>
      </c>
      <c r="E108" s="3">
        <f>CREAMER_ADDON/2</f>
        <v>0.0134</v>
      </c>
      <c r="F108" s="3"/>
      <c r="G108" s="3">
        <f>ROUND(G100/64,4)</f>
        <v>0.0003</v>
      </c>
      <c r="H108" s="3">
        <f>ROUND(H100/64,4)</f>
        <v>0</v>
      </c>
      <c r="I108" s="3">
        <f t="shared" si="44"/>
        <v>0.0191</v>
      </c>
      <c r="J108" s="3">
        <f t="shared" si="38"/>
        <v>0.0006927461139896382</v>
      </c>
      <c r="K108" s="5">
        <f t="shared" si="45"/>
        <v>0.0198</v>
      </c>
      <c r="L108" s="3">
        <f>ROUND(L105/8,4)</f>
        <v>-0.0013</v>
      </c>
      <c r="M108" s="5">
        <f>ROUND(M105/8,4)</f>
        <v>0.0037</v>
      </c>
      <c r="N108" s="3">
        <f t="shared" si="43"/>
        <v>0.0222</v>
      </c>
      <c r="O108" s="235"/>
      <c r="P108" s="181">
        <f t="shared" si="46"/>
        <v>0.0222</v>
      </c>
      <c r="Q108" s="117"/>
      <c r="R108" s="117"/>
      <c r="S108" s="118"/>
      <c r="T108" s="119"/>
      <c r="U108" s="119"/>
      <c r="V108" s="115"/>
    </row>
    <row r="109" spans="1:22" ht="13.5" thickBot="1">
      <c r="A109" s="343"/>
      <c r="B109" s="344"/>
      <c r="C109" s="143" t="s">
        <v>49</v>
      </c>
      <c r="D109" s="195">
        <f>'CNTNR COST'!G107</f>
        <v>0.0081</v>
      </c>
      <c r="E109" s="183">
        <f>E108/2*3</f>
        <v>0.0201</v>
      </c>
      <c r="F109" s="183"/>
      <c r="G109" s="183">
        <f>ROUND(G101/64*3,4)</f>
        <v>0.0005</v>
      </c>
      <c r="H109" s="183">
        <f>ROUND(H101/64*3,4)</f>
        <v>0</v>
      </c>
      <c r="I109" s="183">
        <f t="shared" si="44"/>
        <v>0.0287</v>
      </c>
      <c r="J109" s="183">
        <f t="shared" si="38"/>
        <v>0.0010409326424870476</v>
      </c>
      <c r="K109" s="184">
        <f>ROUND(I109+J109,6)</f>
        <v>0.029741</v>
      </c>
      <c r="L109" s="183">
        <f>ROUND(L108/2*3,4)</f>
        <v>-0.002</v>
      </c>
      <c r="M109" s="183">
        <f>ROUND(+M108/2*3,4)</f>
        <v>0.0056</v>
      </c>
      <c r="N109" s="183">
        <f t="shared" si="43"/>
        <v>0.0333</v>
      </c>
      <c r="O109" s="236"/>
      <c r="P109" s="185">
        <f>N109-O109</f>
        <v>0.0333</v>
      </c>
      <c r="Q109" s="117"/>
      <c r="R109" s="117"/>
      <c r="S109" s="118"/>
      <c r="T109" s="119"/>
      <c r="U109" s="119"/>
      <c r="V109" s="115"/>
    </row>
    <row r="110" spans="3:22" ht="14.25" thickBot="1" thickTop="1">
      <c r="C110" s="113"/>
      <c r="K110" s="9"/>
      <c r="P110" s="9"/>
      <c r="Q110" s="117"/>
      <c r="R110" s="117"/>
      <c r="S110" s="115"/>
      <c r="T110" s="115"/>
      <c r="U110" s="115"/>
      <c r="V110" s="115"/>
    </row>
    <row r="111" spans="1:22" ht="14.25" thickBot="1" thickTop="1">
      <c r="A111" s="334" t="s">
        <v>200</v>
      </c>
      <c r="B111" s="335" t="s">
        <v>201</v>
      </c>
      <c r="C111" s="196" t="s">
        <v>41</v>
      </c>
      <c r="D111" s="197">
        <f>'CNTNR COST'!G109</f>
        <v>0.6902</v>
      </c>
      <c r="E111" s="178">
        <f>E112*2</f>
        <v>0.4004</v>
      </c>
      <c r="F111" s="178">
        <f>+$F$10</f>
        <v>-0.0317</v>
      </c>
      <c r="G111" s="6">
        <f>ROUND($G$11*2,6)</f>
        <v>0.0384</v>
      </c>
      <c r="H111" s="6">
        <f>ROUND($H$11*2,6)</f>
        <v>0</v>
      </c>
      <c r="I111" s="178">
        <f>ROUND(SUM(D111:H111),4)</f>
        <v>1.0973</v>
      </c>
      <c r="J111" s="178">
        <f t="shared" si="38"/>
        <v>0.03979844559585488</v>
      </c>
      <c r="K111" s="179">
        <f>ROUND(I111+J111,4)</f>
        <v>1.1371</v>
      </c>
      <c r="L111" s="178">
        <f>ROUND(L$11*2,4)</f>
        <v>-0.1678</v>
      </c>
      <c r="M111" s="178">
        <f>ROUND(M$11*2,4)</f>
        <v>0.4682</v>
      </c>
      <c r="N111" s="178">
        <f aca="true" t="shared" si="47" ref="N111:N118">ROUND(SUM(K111:M111),4)</f>
        <v>1.4375</v>
      </c>
      <c r="O111" s="234"/>
      <c r="P111" s="180">
        <f aca="true" t="shared" si="48" ref="P111:P118">N111-O111</f>
        <v>1.4375</v>
      </c>
      <c r="Q111" s="117"/>
      <c r="R111" s="117"/>
      <c r="S111" s="118"/>
      <c r="T111" s="119"/>
      <c r="U111" s="119"/>
      <c r="V111" s="115"/>
    </row>
    <row r="112" spans="1:22" ht="13.5" thickBot="1">
      <c r="A112" s="329"/>
      <c r="B112" s="336"/>
      <c r="C112" s="196" t="s">
        <v>10</v>
      </c>
      <c r="D112" s="4">
        <f>'CNTNR COST'!G110</f>
        <v>0.3451</v>
      </c>
      <c r="E112" s="3">
        <f>CREAM_ADDON</f>
        <v>0.2002</v>
      </c>
      <c r="F112" s="3">
        <f>+$F$11</f>
        <v>0.0467</v>
      </c>
      <c r="G112" s="6">
        <f>ROUND(COST_UPDATE_ADJ,4)</f>
        <v>0.0192</v>
      </c>
      <c r="H112" s="6">
        <f>Energy_Addon</f>
        <v>0</v>
      </c>
      <c r="I112" s="3">
        <f aca="true" t="shared" si="49" ref="I112:I118">ROUND(SUM(D112:H112),4)</f>
        <v>0.6112</v>
      </c>
      <c r="J112" s="3">
        <f t="shared" si="38"/>
        <v>0.022167875647668422</v>
      </c>
      <c r="K112" s="5">
        <f aca="true" t="shared" si="50" ref="K112:K118">ROUND(I112+J112,4)</f>
        <v>0.6334</v>
      </c>
      <c r="L112" s="3">
        <f>$L$11</f>
        <v>-0.0839</v>
      </c>
      <c r="M112" s="3">
        <f>$M$11</f>
        <v>0.2341</v>
      </c>
      <c r="N112" s="3">
        <f t="shared" si="47"/>
        <v>0.7836</v>
      </c>
      <c r="O112" s="235"/>
      <c r="P112" s="181">
        <f t="shared" si="48"/>
        <v>0.7836</v>
      </c>
      <c r="Q112" s="117"/>
      <c r="R112" s="117"/>
      <c r="S112" s="118"/>
      <c r="T112" s="119"/>
      <c r="U112" s="119"/>
      <c r="V112" s="115"/>
    </row>
    <row r="113" spans="1:22" ht="13.5" thickBot="1">
      <c r="A113" s="329"/>
      <c r="B113" s="336"/>
      <c r="C113" s="196" t="s">
        <v>11</v>
      </c>
      <c r="D113" s="4">
        <f>'CNTNR COST'!G111</f>
        <v>0.1726</v>
      </c>
      <c r="E113" s="3">
        <f>E112/2</f>
        <v>0.1001</v>
      </c>
      <c r="F113" s="3">
        <f>+$F$12</f>
        <v>0.0633</v>
      </c>
      <c r="G113" s="6">
        <f>ROUND($G$11/2,4)</f>
        <v>0.0096</v>
      </c>
      <c r="H113" s="6">
        <f>ROUND($H$11/2,4)</f>
        <v>0</v>
      </c>
      <c r="I113" s="3">
        <f t="shared" si="49"/>
        <v>0.3456</v>
      </c>
      <c r="J113" s="3">
        <f t="shared" si="38"/>
        <v>0.01253471502590675</v>
      </c>
      <c r="K113" s="5">
        <f t="shared" si="50"/>
        <v>0.3581</v>
      </c>
      <c r="L113" s="3">
        <f>ROUND(L$11/2,4)</f>
        <v>-0.042</v>
      </c>
      <c r="M113" s="3">
        <f>ROUND(M$11/2,4)</f>
        <v>0.1171</v>
      </c>
      <c r="N113" s="3">
        <f t="shared" si="47"/>
        <v>0.4332</v>
      </c>
      <c r="O113" s="235"/>
      <c r="P113" s="181">
        <f t="shared" si="48"/>
        <v>0.4332</v>
      </c>
      <c r="Q113" s="117"/>
      <c r="R113" s="117"/>
      <c r="S113" s="118"/>
      <c r="T113" s="119"/>
      <c r="U113" s="119"/>
      <c r="V113" s="115"/>
    </row>
    <row r="114" spans="1:22" ht="13.5" thickBot="1">
      <c r="A114" s="329"/>
      <c r="B114" s="336"/>
      <c r="C114" s="143" t="s">
        <v>212</v>
      </c>
      <c r="D114" s="4">
        <f>'CNTNR COST'!G112</f>
        <v>0.1924</v>
      </c>
      <c r="E114" s="3">
        <f>E112/32*12</f>
        <v>0.075075</v>
      </c>
      <c r="F114" s="3">
        <f>+$F$13</f>
        <v>0</v>
      </c>
      <c r="G114" s="6">
        <f>ROUND($G$11/32*12,4)</f>
        <v>0.0072</v>
      </c>
      <c r="H114" s="6">
        <f>ROUND($H$11/32*12,4)</f>
        <v>0</v>
      </c>
      <c r="I114" s="3">
        <f t="shared" si="49"/>
        <v>0.2747</v>
      </c>
      <c r="J114" s="3">
        <f t="shared" si="38"/>
        <v>0.009963212435233182</v>
      </c>
      <c r="K114" s="5">
        <f t="shared" si="50"/>
        <v>0.2847</v>
      </c>
      <c r="L114" s="3">
        <f>ROUND(L$11/32*12,4)</f>
        <v>-0.0315</v>
      </c>
      <c r="M114" s="3">
        <f>ROUND(M$11/32*12,4)</f>
        <v>0.0878</v>
      </c>
      <c r="N114" s="3">
        <f t="shared" si="47"/>
        <v>0.341</v>
      </c>
      <c r="O114" s="235"/>
      <c r="P114" s="181"/>
      <c r="Q114" s="117"/>
      <c r="R114" s="117"/>
      <c r="S114" s="118"/>
      <c r="T114" s="119"/>
      <c r="U114" s="119"/>
      <c r="V114" s="115"/>
    </row>
    <row r="115" spans="1:22" ht="13.5" thickBot="1">
      <c r="A115" s="329"/>
      <c r="B115" s="336"/>
      <c r="C115" s="196" t="s">
        <v>42</v>
      </c>
      <c r="D115" s="4">
        <f>'CNTNR COST'!G113</f>
        <v>0.1933</v>
      </c>
      <c r="E115" s="3">
        <f>E112/32*10</f>
        <v>0.0625625</v>
      </c>
      <c r="F115" s="3">
        <f>+$F$14</f>
        <v>0</v>
      </c>
      <c r="G115" s="6">
        <f>ROUND($G$11/32*10,4)</f>
        <v>0.006</v>
      </c>
      <c r="H115" s="6">
        <f>ROUND($H$11/32*10,4)</f>
        <v>0</v>
      </c>
      <c r="I115" s="3">
        <f t="shared" si="49"/>
        <v>0.2619</v>
      </c>
      <c r="J115" s="3">
        <f t="shared" si="38"/>
        <v>0.009498963730569965</v>
      </c>
      <c r="K115" s="5">
        <f t="shared" si="50"/>
        <v>0.2714</v>
      </c>
      <c r="L115" s="3">
        <f>ROUND(L$11/32*10,4)</f>
        <v>-0.0262</v>
      </c>
      <c r="M115" s="3">
        <f>ROUND(M$11/32*10,4)</f>
        <v>0.0732</v>
      </c>
      <c r="N115" s="3">
        <f t="shared" si="47"/>
        <v>0.3184</v>
      </c>
      <c r="O115" s="235"/>
      <c r="P115" s="181">
        <f t="shared" si="48"/>
        <v>0.3184</v>
      </c>
      <c r="Q115" s="117"/>
      <c r="R115" s="117"/>
      <c r="S115" s="118"/>
      <c r="T115" s="119"/>
      <c r="U115" s="119"/>
      <c r="V115" s="115"/>
    </row>
    <row r="116" spans="1:22" ht="13.5" thickBot="1">
      <c r="A116" s="329"/>
      <c r="B116" s="336"/>
      <c r="C116" s="196" t="s">
        <v>43</v>
      </c>
      <c r="D116" s="4">
        <f>'CNTNR COST'!G114</f>
        <v>0.0863</v>
      </c>
      <c r="E116" s="3">
        <f>E112/4</f>
        <v>0.05005</v>
      </c>
      <c r="F116" s="3">
        <f>+$F$15</f>
        <v>0.0247</v>
      </c>
      <c r="G116" s="6">
        <f>ROUND($G$11/4,4)</f>
        <v>0.0048</v>
      </c>
      <c r="H116" s="6">
        <f>ROUND($H$11/4,4)</f>
        <v>0</v>
      </c>
      <c r="I116" s="3">
        <f t="shared" si="49"/>
        <v>0.1659</v>
      </c>
      <c r="J116" s="3">
        <f t="shared" si="38"/>
        <v>0.006017098445595864</v>
      </c>
      <c r="K116" s="5">
        <f t="shared" si="50"/>
        <v>0.1719</v>
      </c>
      <c r="L116" s="3">
        <f>ROUND(L$11/4,4)</f>
        <v>-0.021</v>
      </c>
      <c r="M116" s="3">
        <f>ROUND(M$11/4,4)</f>
        <v>0.0585</v>
      </c>
      <c r="N116" s="3">
        <f t="shared" si="47"/>
        <v>0.2094</v>
      </c>
      <c r="O116" s="235"/>
      <c r="P116" s="181">
        <f t="shared" si="48"/>
        <v>0.2094</v>
      </c>
      <c r="Q116" s="117"/>
      <c r="R116" s="117"/>
      <c r="S116" s="118"/>
      <c r="T116" s="119"/>
      <c r="U116" s="119"/>
      <c r="V116" s="115"/>
    </row>
    <row r="117" spans="1:22" ht="13.5" thickBot="1">
      <c r="A117" s="329"/>
      <c r="B117" s="336"/>
      <c r="C117" s="196" t="s">
        <v>44</v>
      </c>
      <c r="D117" s="4">
        <f>'CNTNR COST'!G115</f>
        <v>0.0817</v>
      </c>
      <c r="E117" s="3">
        <f>E112/8</f>
        <v>0.025025</v>
      </c>
      <c r="F117" s="3">
        <f>+$F$16</f>
        <v>0.0414</v>
      </c>
      <c r="G117" s="6">
        <f>ROUND($G$11/8,4)</f>
        <v>0.0024</v>
      </c>
      <c r="H117" s="6">
        <f>ROUND($H$11/8,4)</f>
        <v>0</v>
      </c>
      <c r="I117" s="3">
        <f t="shared" si="49"/>
        <v>0.1505</v>
      </c>
      <c r="J117" s="3">
        <f t="shared" si="38"/>
        <v>0.005458549222797926</v>
      </c>
      <c r="K117" s="5">
        <f t="shared" si="50"/>
        <v>0.156</v>
      </c>
      <c r="L117" s="3">
        <f>ROUND(L$11/8,4)</f>
        <v>-0.0105</v>
      </c>
      <c r="M117" s="3">
        <f>ROUND(M$11/8,4)</f>
        <v>0.0293</v>
      </c>
      <c r="N117" s="3">
        <f t="shared" si="47"/>
        <v>0.1748</v>
      </c>
      <c r="O117" s="235"/>
      <c r="P117" s="181">
        <f t="shared" si="48"/>
        <v>0.1748</v>
      </c>
      <c r="Q117" s="117"/>
      <c r="R117" s="117"/>
      <c r="S117" s="118"/>
      <c r="T117" s="119"/>
      <c r="U117" s="119"/>
      <c r="V117" s="115"/>
    </row>
    <row r="118" spans="1:22" ht="13.5" thickBot="1">
      <c r="A118" s="330"/>
      <c r="B118" s="337"/>
      <c r="C118" s="196" t="s">
        <v>64</v>
      </c>
      <c r="D118" s="198">
        <f>'CNTNR COST'!G116</f>
        <v>0.4232</v>
      </c>
      <c r="E118" s="183">
        <f>E112</f>
        <v>0.2002</v>
      </c>
      <c r="F118" s="183">
        <f>+$F$17</f>
        <v>0.1682</v>
      </c>
      <c r="G118" s="192">
        <f>ROUND($G$11,6)</f>
        <v>0.0192</v>
      </c>
      <c r="H118" s="192">
        <f>ROUND($H$11,6)</f>
        <v>0</v>
      </c>
      <c r="I118" s="183">
        <f t="shared" si="49"/>
        <v>0.8108</v>
      </c>
      <c r="J118" s="183">
        <f t="shared" si="38"/>
        <v>0.029407253886010398</v>
      </c>
      <c r="K118" s="184">
        <f t="shared" si="50"/>
        <v>0.8402</v>
      </c>
      <c r="L118" s="183">
        <f>L$11</f>
        <v>-0.0839</v>
      </c>
      <c r="M118" s="183">
        <f>M$11</f>
        <v>0.2341</v>
      </c>
      <c r="N118" s="183">
        <f t="shared" si="47"/>
        <v>0.9904</v>
      </c>
      <c r="O118" s="236"/>
      <c r="P118" s="185">
        <f t="shared" si="48"/>
        <v>0.9904</v>
      </c>
      <c r="Q118" s="117"/>
      <c r="R118" s="117"/>
      <c r="S118" s="118"/>
      <c r="T118" s="119"/>
      <c r="U118" s="119"/>
      <c r="V118" s="115"/>
    </row>
    <row r="119" spans="3:22" ht="14.25" thickBot="1" thickTop="1">
      <c r="C119" s="113"/>
      <c r="K119" s="9"/>
      <c r="P119" s="9"/>
      <c r="Q119" s="117"/>
      <c r="R119" s="117"/>
      <c r="S119" s="115"/>
      <c r="T119" s="120"/>
      <c r="U119" s="120"/>
      <c r="V119" s="115"/>
    </row>
    <row r="120" spans="1:22" ht="14.25" thickBot="1" thickTop="1">
      <c r="A120" s="334" t="s">
        <v>202</v>
      </c>
      <c r="B120" s="335" t="s">
        <v>201</v>
      </c>
      <c r="C120" s="196" t="s">
        <v>41</v>
      </c>
      <c r="D120" s="197">
        <f>'CNTNR COST'!G118</f>
        <v>0.6902</v>
      </c>
      <c r="E120" s="178">
        <f>E121*2</f>
        <v>0.4004</v>
      </c>
      <c r="F120" s="178">
        <f>+$F$10</f>
        <v>-0.0317</v>
      </c>
      <c r="G120" s="6">
        <f>ROUND($G$11*2,6)</f>
        <v>0.0384</v>
      </c>
      <c r="H120" s="6">
        <f>ROUND($H$11*2,6)</f>
        <v>0</v>
      </c>
      <c r="I120" s="178">
        <f aca="true" t="shared" si="51" ref="I120:I127">ROUND(SUM(D120:H120),4)</f>
        <v>1.0973</v>
      </c>
      <c r="J120" s="178">
        <f t="shared" si="38"/>
        <v>0.03979844559585488</v>
      </c>
      <c r="K120" s="179">
        <f aca="true" t="shared" si="52" ref="K120:K127">ROUND(I120+J120,4)</f>
        <v>1.1371</v>
      </c>
      <c r="L120" s="178">
        <f>ROUND(L$11*2,4)</f>
        <v>-0.1678</v>
      </c>
      <c r="M120" s="178">
        <f>ROUND(M$11*2,4)</f>
        <v>0.4682</v>
      </c>
      <c r="N120" s="178">
        <f aca="true" t="shared" si="53" ref="N120:N127">ROUND(SUM(K120:M120),4)</f>
        <v>1.4375</v>
      </c>
      <c r="O120" s="234"/>
      <c r="P120" s="180">
        <f aca="true" t="shared" si="54" ref="P120:P127">N120-O120</f>
        <v>1.4375</v>
      </c>
      <c r="Q120" s="117"/>
      <c r="R120" s="117"/>
      <c r="S120" s="118"/>
      <c r="T120" s="119"/>
      <c r="U120" s="119"/>
      <c r="V120" s="115"/>
    </row>
    <row r="121" spans="1:22" ht="13.5" thickBot="1">
      <c r="A121" s="329"/>
      <c r="B121" s="336"/>
      <c r="C121" s="196" t="s">
        <v>10</v>
      </c>
      <c r="D121" s="4">
        <f>'CNTNR COST'!G119</f>
        <v>0.3451</v>
      </c>
      <c r="E121" s="3">
        <f>CREAM_ADDON</f>
        <v>0.2002</v>
      </c>
      <c r="F121" s="3">
        <f>+$F$11</f>
        <v>0.0467</v>
      </c>
      <c r="G121" s="6">
        <f>ROUND(COST_UPDATE_ADJ,4)</f>
        <v>0.0192</v>
      </c>
      <c r="H121" s="6">
        <f>Energy_Addon</f>
        <v>0</v>
      </c>
      <c r="I121" s="3">
        <f t="shared" si="51"/>
        <v>0.6112</v>
      </c>
      <c r="J121" s="3">
        <f t="shared" si="38"/>
        <v>0.022167875647668422</v>
      </c>
      <c r="K121" s="5">
        <f t="shared" si="52"/>
        <v>0.6334</v>
      </c>
      <c r="L121" s="3">
        <f>$L$11</f>
        <v>-0.0839</v>
      </c>
      <c r="M121" s="3">
        <f>$M$11</f>
        <v>0.2341</v>
      </c>
      <c r="N121" s="3">
        <f t="shared" si="53"/>
        <v>0.7836</v>
      </c>
      <c r="O121" s="235"/>
      <c r="P121" s="181">
        <f t="shared" si="54"/>
        <v>0.7836</v>
      </c>
      <c r="Q121" s="117"/>
      <c r="R121" s="117"/>
      <c r="S121" s="118"/>
      <c r="T121" s="119"/>
      <c r="U121" s="119"/>
      <c r="V121" s="115"/>
    </row>
    <row r="122" spans="1:22" ht="13.5" thickBot="1">
      <c r="A122" s="329"/>
      <c r="B122" s="336"/>
      <c r="C122" s="196" t="s">
        <v>11</v>
      </c>
      <c r="D122" s="4">
        <f>'CNTNR COST'!G120</f>
        <v>0.1726</v>
      </c>
      <c r="E122" s="3">
        <f>E121/2</f>
        <v>0.1001</v>
      </c>
      <c r="F122" s="3">
        <f>+$F$12</f>
        <v>0.0633</v>
      </c>
      <c r="G122" s="6">
        <f>ROUND($G$11/2,4)</f>
        <v>0.0096</v>
      </c>
      <c r="H122" s="6">
        <f>ROUND($H$11/2,4)</f>
        <v>0</v>
      </c>
      <c r="I122" s="3">
        <f t="shared" si="51"/>
        <v>0.3456</v>
      </c>
      <c r="J122" s="3">
        <f t="shared" si="38"/>
        <v>0.01253471502590675</v>
      </c>
      <c r="K122" s="5">
        <f t="shared" si="52"/>
        <v>0.3581</v>
      </c>
      <c r="L122" s="3">
        <f>ROUND(L$11/2,4)</f>
        <v>-0.042</v>
      </c>
      <c r="M122" s="3">
        <f>ROUND(M$11/2,4)</f>
        <v>0.1171</v>
      </c>
      <c r="N122" s="3">
        <f t="shared" si="53"/>
        <v>0.4332</v>
      </c>
      <c r="O122" s="235"/>
      <c r="P122" s="181">
        <f t="shared" si="54"/>
        <v>0.4332</v>
      </c>
      <c r="Q122" s="117"/>
      <c r="R122" s="117"/>
      <c r="S122" s="118"/>
      <c r="T122" s="119"/>
      <c r="U122" s="119"/>
      <c r="V122" s="115"/>
    </row>
    <row r="123" spans="1:22" ht="13.5" thickBot="1">
      <c r="A123" s="329"/>
      <c r="B123" s="336"/>
      <c r="C123" s="143" t="s">
        <v>212</v>
      </c>
      <c r="D123" s="4">
        <f>'CNTNR COST'!G121</f>
        <v>0.1924</v>
      </c>
      <c r="E123" s="3">
        <f>E121/32*12</f>
        <v>0.075075</v>
      </c>
      <c r="F123" s="3">
        <f>+$F$13</f>
        <v>0</v>
      </c>
      <c r="G123" s="6">
        <f>ROUND($G$11/32*12,4)</f>
        <v>0.0072</v>
      </c>
      <c r="H123" s="6">
        <f>ROUND($H$11/32*12,4)</f>
        <v>0</v>
      </c>
      <c r="I123" s="3">
        <f t="shared" si="51"/>
        <v>0.2747</v>
      </c>
      <c r="J123" s="3">
        <f t="shared" si="38"/>
        <v>0.009963212435233182</v>
      </c>
      <c r="K123" s="5">
        <f t="shared" si="52"/>
        <v>0.2847</v>
      </c>
      <c r="L123" s="3">
        <f>ROUND(L$11/32*12,4)</f>
        <v>-0.0315</v>
      </c>
      <c r="M123" s="3">
        <f>ROUND(M$11/32*12,4)</f>
        <v>0.0878</v>
      </c>
      <c r="N123" s="3">
        <f t="shared" si="53"/>
        <v>0.341</v>
      </c>
      <c r="O123" s="235"/>
      <c r="P123" s="181"/>
      <c r="Q123" s="117"/>
      <c r="R123" s="117"/>
      <c r="S123" s="118"/>
      <c r="T123" s="119"/>
      <c r="U123" s="119"/>
      <c r="V123" s="115"/>
    </row>
    <row r="124" spans="1:22" ht="13.5" thickBot="1">
      <c r="A124" s="329"/>
      <c r="B124" s="336"/>
      <c r="C124" s="196" t="s">
        <v>42</v>
      </c>
      <c r="D124" s="4">
        <f>'CNTNR COST'!G122</f>
        <v>0.1933</v>
      </c>
      <c r="E124" s="3">
        <f>E121/32*10</f>
        <v>0.0625625</v>
      </c>
      <c r="F124" s="3">
        <f>+$F$14</f>
        <v>0</v>
      </c>
      <c r="G124" s="6">
        <f>ROUND($G$11/32*10,4)</f>
        <v>0.006</v>
      </c>
      <c r="H124" s="6">
        <f>ROUND($H$11/32*10,4)</f>
        <v>0</v>
      </c>
      <c r="I124" s="3">
        <f t="shared" si="51"/>
        <v>0.2619</v>
      </c>
      <c r="J124" s="3">
        <f t="shared" si="38"/>
        <v>0.009498963730569965</v>
      </c>
      <c r="K124" s="5">
        <f t="shared" si="52"/>
        <v>0.2714</v>
      </c>
      <c r="L124" s="3">
        <f>ROUND(L$11/32*10,4)</f>
        <v>-0.0262</v>
      </c>
      <c r="M124" s="3">
        <f>ROUND(M$11/32*10,4)</f>
        <v>0.0732</v>
      </c>
      <c r="N124" s="3">
        <f t="shared" si="53"/>
        <v>0.3184</v>
      </c>
      <c r="O124" s="235"/>
      <c r="P124" s="181">
        <f t="shared" si="54"/>
        <v>0.3184</v>
      </c>
      <c r="Q124" s="117"/>
      <c r="R124" s="117"/>
      <c r="S124" s="118"/>
      <c r="T124" s="119"/>
      <c r="U124" s="119"/>
      <c r="V124" s="115"/>
    </row>
    <row r="125" spans="1:22" ht="13.5" thickBot="1">
      <c r="A125" s="329"/>
      <c r="B125" s="336"/>
      <c r="C125" s="196" t="s">
        <v>43</v>
      </c>
      <c r="D125" s="4">
        <f>'CNTNR COST'!G123</f>
        <v>0.0863</v>
      </c>
      <c r="E125" s="3">
        <f>E121/4</f>
        <v>0.05005</v>
      </c>
      <c r="F125" s="3">
        <f>+$F$15</f>
        <v>0.0247</v>
      </c>
      <c r="G125" s="6">
        <f>ROUND($G$11/4,4)</f>
        <v>0.0048</v>
      </c>
      <c r="H125" s="6">
        <f>ROUND($H$11/4,4)</f>
        <v>0</v>
      </c>
      <c r="I125" s="3">
        <f t="shared" si="51"/>
        <v>0.1659</v>
      </c>
      <c r="J125" s="3">
        <f t="shared" si="38"/>
        <v>0.006017098445595864</v>
      </c>
      <c r="K125" s="5">
        <f t="shared" si="52"/>
        <v>0.1719</v>
      </c>
      <c r="L125" s="3">
        <f>ROUND(L$11/4,4)</f>
        <v>-0.021</v>
      </c>
      <c r="M125" s="3">
        <f>ROUND(M$11/4,4)</f>
        <v>0.0585</v>
      </c>
      <c r="N125" s="3">
        <f t="shared" si="53"/>
        <v>0.2094</v>
      </c>
      <c r="O125" s="235"/>
      <c r="P125" s="181">
        <f t="shared" si="54"/>
        <v>0.2094</v>
      </c>
      <c r="Q125" s="117"/>
      <c r="R125" s="117"/>
      <c r="S125" s="118"/>
      <c r="T125" s="119"/>
      <c r="U125" s="119"/>
      <c r="V125" s="115"/>
    </row>
    <row r="126" spans="1:22" ht="13.5" thickBot="1">
      <c r="A126" s="329"/>
      <c r="B126" s="336"/>
      <c r="C126" s="196" t="s">
        <v>44</v>
      </c>
      <c r="D126" s="4">
        <f>'CNTNR COST'!G124</f>
        <v>0.0817</v>
      </c>
      <c r="E126" s="3">
        <f>E121/8</f>
        <v>0.025025</v>
      </c>
      <c r="F126" s="3">
        <f>+$F$16</f>
        <v>0.0414</v>
      </c>
      <c r="G126" s="6">
        <f>ROUND($G$11/8,4)</f>
        <v>0.0024</v>
      </c>
      <c r="H126" s="6">
        <f>ROUND($H$11/8,4)</f>
        <v>0</v>
      </c>
      <c r="I126" s="3">
        <f t="shared" si="51"/>
        <v>0.1505</v>
      </c>
      <c r="J126" s="3">
        <f t="shared" si="38"/>
        <v>0.005458549222797926</v>
      </c>
      <c r="K126" s="5">
        <f t="shared" si="52"/>
        <v>0.156</v>
      </c>
      <c r="L126" s="3">
        <f>ROUND(L$11/8,4)</f>
        <v>-0.0105</v>
      </c>
      <c r="M126" s="3">
        <f>ROUND(M$11/8,4)</f>
        <v>0.0293</v>
      </c>
      <c r="N126" s="3">
        <f t="shared" si="53"/>
        <v>0.1748</v>
      </c>
      <c r="O126" s="235"/>
      <c r="P126" s="181">
        <f t="shared" si="54"/>
        <v>0.1748</v>
      </c>
      <c r="Q126" s="117"/>
      <c r="R126" s="117"/>
      <c r="S126" s="118"/>
      <c r="T126" s="119"/>
      <c r="U126" s="119"/>
      <c r="V126" s="115"/>
    </row>
    <row r="127" spans="1:22" ht="13.5" thickBot="1">
      <c r="A127" s="330"/>
      <c r="B127" s="337"/>
      <c r="C127" s="196" t="s">
        <v>64</v>
      </c>
      <c r="D127" s="198">
        <f>'CNTNR COST'!G125</f>
        <v>0.4232</v>
      </c>
      <c r="E127" s="183">
        <f>E121</f>
        <v>0.2002</v>
      </c>
      <c r="F127" s="183">
        <f>+$F$17</f>
        <v>0.1682</v>
      </c>
      <c r="G127" s="192">
        <f>ROUND($G$11,6)</f>
        <v>0.0192</v>
      </c>
      <c r="H127" s="192">
        <f>ROUND($H$11,6)</f>
        <v>0</v>
      </c>
      <c r="I127" s="183">
        <f t="shared" si="51"/>
        <v>0.8108</v>
      </c>
      <c r="J127" s="183">
        <f t="shared" si="38"/>
        <v>0.029407253886010398</v>
      </c>
      <c r="K127" s="184">
        <f t="shared" si="52"/>
        <v>0.8402</v>
      </c>
      <c r="L127" s="183">
        <f>L$11</f>
        <v>-0.0839</v>
      </c>
      <c r="M127" s="183">
        <f>M$11</f>
        <v>0.2341</v>
      </c>
      <c r="N127" s="183">
        <f t="shared" si="53"/>
        <v>0.9904</v>
      </c>
      <c r="O127" s="236"/>
      <c r="P127" s="185">
        <f t="shared" si="54"/>
        <v>0.9904</v>
      </c>
      <c r="Q127" s="117"/>
      <c r="R127" s="117"/>
      <c r="S127" s="118"/>
      <c r="T127" s="119"/>
      <c r="U127" s="119"/>
      <c r="V127" s="115"/>
    </row>
    <row r="128" spans="3:22" ht="14.25" thickBot="1" thickTop="1">
      <c r="C128" s="113"/>
      <c r="K128" s="9"/>
      <c r="P128" s="9"/>
      <c r="Q128" s="117"/>
      <c r="R128" s="117"/>
      <c r="S128" s="115"/>
      <c r="T128" s="115"/>
      <c r="U128" s="115"/>
      <c r="V128" s="115"/>
    </row>
    <row r="129" spans="1:22" ht="14.25" thickBot="1" thickTop="1">
      <c r="A129" s="334" t="s">
        <v>203</v>
      </c>
      <c r="B129" s="335" t="s">
        <v>201</v>
      </c>
      <c r="C129" s="196" t="s">
        <v>41</v>
      </c>
      <c r="D129" s="197">
        <f>'CNTNR COST'!G127</f>
        <v>0.6902</v>
      </c>
      <c r="E129" s="178">
        <f>E130*2</f>
        <v>0.4004</v>
      </c>
      <c r="F129" s="178">
        <f>+$F$10</f>
        <v>-0.0317</v>
      </c>
      <c r="G129" s="6">
        <f>ROUND($G$11*2,6)</f>
        <v>0.0384</v>
      </c>
      <c r="H129" s="6">
        <f>ROUND($H$11*2,6)</f>
        <v>0</v>
      </c>
      <c r="I129" s="178">
        <f aca="true" t="shared" si="55" ref="I129:I136">ROUND(SUM(D129:H129),4)</f>
        <v>1.0973</v>
      </c>
      <c r="J129" s="178">
        <f t="shared" si="38"/>
        <v>0.03979844559585488</v>
      </c>
      <c r="K129" s="179">
        <f aca="true" t="shared" si="56" ref="K129:K136">ROUND(I129+J129,4)</f>
        <v>1.1371</v>
      </c>
      <c r="L129" s="178">
        <f>ROUND(L$11*2,4)</f>
        <v>-0.1678</v>
      </c>
      <c r="M129" s="178">
        <f>ROUND(M$11*2,4)</f>
        <v>0.4682</v>
      </c>
      <c r="N129" s="178">
        <f aca="true" t="shared" si="57" ref="N129:N136">ROUND(SUM(K129:M129),4)</f>
        <v>1.4375</v>
      </c>
      <c r="O129" s="234"/>
      <c r="P129" s="180">
        <f aca="true" t="shared" si="58" ref="P129:P136">N129-O129</f>
        <v>1.4375</v>
      </c>
      <c r="Q129" s="117"/>
      <c r="R129" s="117"/>
      <c r="S129" s="118"/>
      <c r="T129" s="119"/>
      <c r="U129" s="119"/>
      <c r="V129" s="115"/>
    </row>
    <row r="130" spans="1:22" ht="13.5" thickBot="1">
      <c r="A130" s="329"/>
      <c r="B130" s="336"/>
      <c r="C130" s="196" t="s">
        <v>10</v>
      </c>
      <c r="D130" s="4">
        <f>'CNTNR COST'!G128</f>
        <v>0.3451</v>
      </c>
      <c r="E130" s="3">
        <f>CREAM_ADDON</f>
        <v>0.2002</v>
      </c>
      <c r="F130" s="3">
        <f>+$F$11</f>
        <v>0.0467</v>
      </c>
      <c r="G130" s="6">
        <f>ROUND(COST_UPDATE_ADJ,4)</f>
        <v>0.0192</v>
      </c>
      <c r="H130" s="6">
        <f>Energy_Addon</f>
        <v>0</v>
      </c>
      <c r="I130" s="3">
        <f t="shared" si="55"/>
        <v>0.6112</v>
      </c>
      <c r="J130" s="3">
        <f t="shared" si="38"/>
        <v>0.022167875647668422</v>
      </c>
      <c r="K130" s="5">
        <f t="shared" si="56"/>
        <v>0.6334</v>
      </c>
      <c r="L130" s="3">
        <f>$L$11</f>
        <v>-0.0839</v>
      </c>
      <c r="M130" s="3">
        <f>$M$11</f>
        <v>0.2341</v>
      </c>
      <c r="N130" s="3">
        <f t="shared" si="57"/>
        <v>0.7836</v>
      </c>
      <c r="O130" s="235"/>
      <c r="P130" s="181">
        <f t="shared" si="58"/>
        <v>0.7836</v>
      </c>
      <c r="Q130" s="117"/>
      <c r="R130" s="117"/>
      <c r="S130" s="118"/>
      <c r="T130" s="119"/>
      <c r="U130" s="119"/>
      <c r="V130" s="115"/>
    </row>
    <row r="131" spans="1:22" ht="13.5" thickBot="1">
      <c r="A131" s="329"/>
      <c r="B131" s="336"/>
      <c r="C131" s="196" t="s">
        <v>11</v>
      </c>
      <c r="D131" s="4">
        <f>'CNTNR COST'!G129</f>
        <v>0.1726</v>
      </c>
      <c r="E131" s="3">
        <f>E130/2</f>
        <v>0.1001</v>
      </c>
      <c r="F131" s="3">
        <f>+$F$12</f>
        <v>0.0633</v>
      </c>
      <c r="G131" s="6">
        <f>ROUND($G$11/2,4)</f>
        <v>0.0096</v>
      </c>
      <c r="H131" s="6">
        <f>ROUND($H$11/2,4)</f>
        <v>0</v>
      </c>
      <c r="I131" s="3">
        <f t="shared" si="55"/>
        <v>0.3456</v>
      </c>
      <c r="J131" s="3">
        <f t="shared" si="38"/>
        <v>0.01253471502590675</v>
      </c>
      <c r="K131" s="5">
        <f t="shared" si="56"/>
        <v>0.3581</v>
      </c>
      <c r="L131" s="3">
        <f>ROUND(L$11/2,4)</f>
        <v>-0.042</v>
      </c>
      <c r="M131" s="3">
        <f>ROUND(M$11/2,4)</f>
        <v>0.1171</v>
      </c>
      <c r="N131" s="3">
        <f t="shared" si="57"/>
        <v>0.4332</v>
      </c>
      <c r="O131" s="235"/>
      <c r="P131" s="181">
        <f t="shared" si="58"/>
        <v>0.4332</v>
      </c>
      <c r="Q131" s="117"/>
      <c r="R131" s="117"/>
      <c r="S131" s="118"/>
      <c r="T131" s="119"/>
      <c r="U131" s="119"/>
      <c r="V131" s="115"/>
    </row>
    <row r="132" spans="1:22" ht="13.5" thickBot="1">
      <c r="A132" s="329"/>
      <c r="B132" s="336"/>
      <c r="C132" s="143" t="s">
        <v>212</v>
      </c>
      <c r="D132" s="4">
        <f>'CNTNR COST'!G130</f>
        <v>0.1924</v>
      </c>
      <c r="E132" s="3">
        <f>E130/32*12</f>
        <v>0.075075</v>
      </c>
      <c r="F132" s="3">
        <f>+$F$13</f>
        <v>0</v>
      </c>
      <c r="G132" s="6">
        <f>ROUND($G$11/32*12,4)</f>
        <v>0.0072</v>
      </c>
      <c r="H132" s="6">
        <f>ROUND($H$11/32*12,4)</f>
        <v>0</v>
      </c>
      <c r="I132" s="3">
        <f t="shared" si="55"/>
        <v>0.2747</v>
      </c>
      <c r="J132" s="3">
        <f t="shared" si="38"/>
        <v>0.009963212435233182</v>
      </c>
      <c r="K132" s="5">
        <f t="shared" si="56"/>
        <v>0.2847</v>
      </c>
      <c r="L132" s="3">
        <f>ROUND(L$11/32*12,4)</f>
        <v>-0.0315</v>
      </c>
      <c r="M132" s="3">
        <f>ROUND(M$11/32*12,4)</f>
        <v>0.0878</v>
      </c>
      <c r="N132" s="3">
        <f t="shared" si="57"/>
        <v>0.341</v>
      </c>
      <c r="O132" s="235"/>
      <c r="P132" s="181"/>
      <c r="Q132" s="117"/>
      <c r="R132" s="117"/>
      <c r="S132" s="118"/>
      <c r="T132" s="119"/>
      <c r="U132" s="119"/>
      <c r="V132" s="115"/>
    </row>
    <row r="133" spans="1:22" ht="13.5" thickBot="1">
      <c r="A133" s="329"/>
      <c r="B133" s="336"/>
      <c r="C133" s="196" t="s">
        <v>42</v>
      </c>
      <c r="D133" s="4">
        <f>'CNTNR COST'!G131</f>
        <v>0.1933</v>
      </c>
      <c r="E133" s="3">
        <f>E130/32*10</f>
        <v>0.0625625</v>
      </c>
      <c r="F133" s="3">
        <f>+$F$14</f>
        <v>0</v>
      </c>
      <c r="G133" s="6">
        <f>ROUND($G$11/32*10,4)</f>
        <v>0.006</v>
      </c>
      <c r="H133" s="6">
        <f>ROUND($H$11/32*10,4)</f>
        <v>0</v>
      </c>
      <c r="I133" s="3">
        <f t="shared" si="55"/>
        <v>0.2619</v>
      </c>
      <c r="J133" s="3">
        <f t="shared" si="38"/>
        <v>0.009498963730569965</v>
      </c>
      <c r="K133" s="5">
        <f t="shared" si="56"/>
        <v>0.2714</v>
      </c>
      <c r="L133" s="3">
        <f>ROUND(L$11/32*10,4)</f>
        <v>-0.0262</v>
      </c>
      <c r="M133" s="3">
        <f>ROUND(M$11/32*10,4)</f>
        <v>0.0732</v>
      </c>
      <c r="N133" s="3">
        <f t="shared" si="57"/>
        <v>0.3184</v>
      </c>
      <c r="O133" s="235"/>
      <c r="P133" s="181">
        <f t="shared" si="58"/>
        <v>0.3184</v>
      </c>
      <c r="Q133" s="117"/>
      <c r="R133" s="117"/>
      <c r="S133" s="118"/>
      <c r="T133" s="119"/>
      <c r="U133" s="119"/>
      <c r="V133" s="115"/>
    </row>
    <row r="134" spans="1:22" ht="13.5" thickBot="1">
      <c r="A134" s="329"/>
      <c r="B134" s="336"/>
      <c r="C134" s="196" t="s">
        <v>43</v>
      </c>
      <c r="D134" s="4">
        <f>'CNTNR COST'!G132</f>
        <v>0.0863</v>
      </c>
      <c r="E134" s="3">
        <f>E130/4</f>
        <v>0.05005</v>
      </c>
      <c r="F134" s="3">
        <f>+$F$15</f>
        <v>0.0247</v>
      </c>
      <c r="G134" s="6">
        <f>ROUND($G$11/4,4)</f>
        <v>0.0048</v>
      </c>
      <c r="H134" s="6">
        <f>ROUND($H$11/4,4)</f>
        <v>0</v>
      </c>
      <c r="I134" s="3">
        <f t="shared" si="55"/>
        <v>0.1659</v>
      </c>
      <c r="J134" s="3">
        <f t="shared" si="38"/>
        <v>0.006017098445595864</v>
      </c>
      <c r="K134" s="5">
        <f t="shared" si="56"/>
        <v>0.1719</v>
      </c>
      <c r="L134" s="3">
        <f>ROUND(L$11/4,4)</f>
        <v>-0.021</v>
      </c>
      <c r="M134" s="3">
        <f>ROUND(M$11/4,4)</f>
        <v>0.0585</v>
      </c>
      <c r="N134" s="3">
        <f t="shared" si="57"/>
        <v>0.2094</v>
      </c>
      <c r="O134" s="235"/>
      <c r="P134" s="181">
        <f t="shared" si="58"/>
        <v>0.2094</v>
      </c>
      <c r="Q134" s="117"/>
      <c r="R134" s="117"/>
      <c r="S134" s="118"/>
      <c r="T134" s="119"/>
      <c r="U134" s="119"/>
      <c r="V134" s="115"/>
    </row>
    <row r="135" spans="1:22" ht="13.5" thickBot="1">
      <c r="A135" s="329"/>
      <c r="B135" s="336"/>
      <c r="C135" s="196" t="s">
        <v>44</v>
      </c>
      <c r="D135" s="4">
        <f>'CNTNR COST'!G133</f>
        <v>0.0817</v>
      </c>
      <c r="E135" s="3">
        <f>E130/8</f>
        <v>0.025025</v>
      </c>
      <c r="F135" s="3">
        <f>+$F$16</f>
        <v>0.0414</v>
      </c>
      <c r="G135" s="6">
        <f>ROUND($G$11/8,4)</f>
        <v>0.0024</v>
      </c>
      <c r="H135" s="6">
        <f>ROUND($H$11/8,4)</f>
        <v>0</v>
      </c>
      <c r="I135" s="3">
        <f t="shared" si="55"/>
        <v>0.1505</v>
      </c>
      <c r="J135" s="3">
        <f t="shared" si="38"/>
        <v>0.005458549222797926</v>
      </c>
      <c r="K135" s="5">
        <f t="shared" si="56"/>
        <v>0.156</v>
      </c>
      <c r="L135" s="3">
        <f>ROUND(L$11/8,4)</f>
        <v>-0.0105</v>
      </c>
      <c r="M135" s="3">
        <f>ROUND(M$11/8,4)</f>
        <v>0.0293</v>
      </c>
      <c r="N135" s="3">
        <f t="shared" si="57"/>
        <v>0.1748</v>
      </c>
      <c r="O135" s="235"/>
      <c r="P135" s="181">
        <f t="shared" si="58"/>
        <v>0.1748</v>
      </c>
      <c r="Q135" s="117"/>
      <c r="R135" s="117"/>
      <c r="S135" s="118"/>
      <c r="T135" s="119"/>
      <c r="U135" s="119"/>
      <c r="V135" s="115"/>
    </row>
    <row r="136" spans="1:22" ht="13.5" thickBot="1">
      <c r="A136" s="330"/>
      <c r="B136" s="337"/>
      <c r="C136" s="196" t="s">
        <v>64</v>
      </c>
      <c r="D136" s="198">
        <f>'CNTNR COST'!G134</f>
        <v>0.4232</v>
      </c>
      <c r="E136" s="183">
        <f>E130</f>
        <v>0.2002</v>
      </c>
      <c r="F136" s="183">
        <f>+$F$17</f>
        <v>0.1682</v>
      </c>
      <c r="G136" s="192">
        <f>ROUND($G$11,6)</f>
        <v>0.0192</v>
      </c>
      <c r="H136" s="192">
        <f>ROUND($H$11,6)</f>
        <v>0</v>
      </c>
      <c r="I136" s="183">
        <f t="shared" si="55"/>
        <v>0.8108</v>
      </c>
      <c r="J136" s="183">
        <f t="shared" si="38"/>
        <v>0.029407253886010398</v>
      </c>
      <c r="K136" s="184">
        <f t="shared" si="56"/>
        <v>0.8402</v>
      </c>
      <c r="L136" s="183">
        <f>L$11</f>
        <v>-0.0839</v>
      </c>
      <c r="M136" s="183">
        <f>M$11</f>
        <v>0.2341</v>
      </c>
      <c r="N136" s="183">
        <f t="shared" si="57"/>
        <v>0.9904</v>
      </c>
      <c r="O136" s="236"/>
      <c r="P136" s="185">
        <f t="shared" si="58"/>
        <v>0.9904</v>
      </c>
      <c r="Q136" s="117"/>
      <c r="R136" s="117"/>
      <c r="S136" s="118"/>
      <c r="T136" s="119"/>
      <c r="U136" s="119"/>
      <c r="V136" s="115"/>
    </row>
    <row r="137" spans="3:22" ht="14.25" thickBot="1" thickTop="1">
      <c r="C137" s="113"/>
      <c r="K137" s="9"/>
      <c r="P137" s="9"/>
      <c r="Q137" s="117"/>
      <c r="R137" s="117"/>
      <c r="S137" s="115"/>
      <c r="T137" s="115"/>
      <c r="U137" s="115"/>
      <c r="V137" s="115"/>
    </row>
    <row r="138" spans="1:22" ht="14.25" thickBot="1" thickTop="1">
      <c r="A138" s="334" t="s">
        <v>51</v>
      </c>
      <c r="B138" s="335"/>
      <c r="C138" s="196" t="s">
        <v>41</v>
      </c>
      <c r="D138" s="197">
        <f>'CNTNR COST'!G136</f>
        <v>0.6902</v>
      </c>
      <c r="E138" s="178">
        <f>+E139*2</f>
        <v>1.3894</v>
      </c>
      <c r="F138" s="178">
        <f>+$F$10</f>
        <v>-0.0317</v>
      </c>
      <c r="G138" s="6">
        <f>ROUND($G$11*2,6)</f>
        <v>0.0384</v>
      </c>
      <c r="H138" s="190">
        <f>ROUND($H$11*2,6)</f>
        <v>0</v>
      </c>
      <c r="I138" s="178">
        <f aca="true" t="shared" si="59" ref="I138:I145">ROUND(SUM(D138:H138),4)</f>
        <v>2.0863</v>
      </c>
      <c r="J138" s="178">
        <f t="shared" si="38"/>
        <v>0.07566891191709857</v>
      </c>
      <c r="K138" s="179">
        <f aca="true" t="shared" si="60" ref="K138:K145">ROUND(I138+J138,4)</f>
        <v>2.162</v>
      </c>
      <c r="L138" s="178">
        <f>ROUND(L$11*2,4)</f>
        <v>-0.1678</v>
      </c>
      <c r="M138" s="178">
        <f>ROUND(M$11*2,4)</f>
        <v>0.4682</v>
      </c>
      <c r="N138" s="178">
        <f aca="true" t="shared" si="61" ref="N138:N145">ROUND(SUM(K138:M138),4)</f>
        <v>2.4624</v>
      </c>
      <c r="O138" s="234"/>
      <c r="P138" s="180">
        <f aca="true" t="shared" si="62" ref="P138:P145">N138-O138</f>
        <v>2.4624</v>
      </c>
      <c r="Q138" s="117"/>
      <c r="R138" s="117"/>
      <c r="S138" s="118"/>
      <c r="T138" s="119"/>
      <c r="U138" s="119"/>
      <c r="V138" s="115"/>
    </row>
    <row r="139" spans="1:22" ht="13.5" thickBot="1">
      <c r="A139" s="329"/>
      <c r="B139" s="336"/>
      <c r="C139" s="196" t="s">
        <v>10</v>
      </c>
      <c r="D139" s="4">
        <f>'CNTNR COST'!G137</f>
        <v>0.3451</v>
      </c>
      <c r="E139" s="3">
        <f>SC_ADDON</f>
        <v>0.6947</v>
      </c>
      <c r="F139" s="3">
        <f>+$F$11</f>
        <v>0.0467</v>
      </c>
      <c r="G139" s="6">
        <f>ROUND(COST_UPDATE_ADJ,4)</f>
        <v>0.0192</v>
      </c>
      <c r="H139" s="6">
        <f>Energy_Addon</f>
        <v>0</v>
      </c>
      <c r="I139" s="3">
        <f t="shared" si="59"/>
        <v>1.1057</v>
      </c>
      <c r="J139" s="3">
        <f t="shared" si="38"/>
        <v>0.040103108808290155</v>
      </c>
      <c r="K139" s="5">
        <f t="shared" si="60"/>
        <v>1.1458</v>
      </c>
      <c r="L139" s="3">
        <f>$L$11</f>
        <v>-0.0839</v>
      </c>
      <c r="M139" s="3">
        <f>$M$11</f>
        <v>0.2341</v>
      </c>
      <c r="N139" s="3">
        <f t="shared" si="61"/>
        <v>1.296</v>
      </c>
      <c r="O139" s="235"/>
      <c r="P139" s="181">
        <f t="shared" si="62"/>
        <v>1.296</v>
      </c>
      <c r="Q139" s="117"/>
      <c r="R139" s="117"/>
      <c r="S139" s="118"/>
      <c r="T139" s="119"/>
      <c r="U139" s="119"/>
      <c r="V139" s="115"/>
    </row>
    <row r="140" spans="1:22" ht="13.5" thickBot="1">
      <c r="A140" s="329"/>
      <c r="B140" s="336"/>
      <c r="C140" s="196" t="s">
        <v>11</v>
      </c>
      <c r="D140" s="4">
        <f>'CNTNR COST'!G138</f>
        <v>0.1726</v>
      </c>
      <c r="E140" s="3">
        <f>E139/2</f>
        <v>0.34735</v>
      </c>
      <c r="F140" s="3">
        <f>+$F$12</f>
        <v>0.0633</v>
      </c>
      <c r="G140" s="6">
        <f>ROUND($G$11/2,4)</f>
        <v>0.0096</v>
      </c>
      <c r="H140" s="6">
        <f>ROUND($H$11/2,4)</f>
        <v>0</v>
      </c>
      <c r="I140" s="3">
        <f t="shared" si="59"/>
        <v>0.5929</v>
      </c>
      <c r="J140" s="3">
        <f t="shared" si="38"/>
        <v>0.02150414507772025</v>
      </c>
      <c r="K140" s="5">
        <f t="shared" si="60"/>
        <v>0.6144</v>
      </c>
      <c r="L140" s="3">
        <f>ROUND(L$11/2,4)</f>
        <v>-0.042</v>
      </c>
      <c r="M140" s="3">
        <f>ROUND(M$11/2,4)</f>
        <v>0.1171</v>
      </c>
      <c r="N140" s="3">
        <f t="shared" si="61"/>
        <v>0.6895</v>
      </c>
      <c r="O140" s="235"/>
      <c r="P140" s="181">
        <f t="shared" si="62"/>
        <v>0.6895</v>
      </c>
      <c r="Q140" s="117"/>
      <c r="R140" s="117"/>
      <c r="S140" s="118"/>
      <c r="T140" s="119"/>
      <c r="U140" s="119"/>
      <c r="V140" s="115"/>
    </row>
    <row r="141" spans="1:22" ht="13.5" thickBot="1">
      <c r="A141" s="329"/>
      <c r="B141" s="336"/>
      <c r="C141" s="143" t="s">
        <v>212</v>
      </c>
      <c r="D141" s="4">
        <f>'CNTNR COST'!G139</f>
        <v>0.1294</v>
      </c>
      <c r="E141" s="3">
        <f>E139/32*12</f>
        <v>0.2605125</v>
      </c>
      <c r="F141" s="3">
        <f>+$F$13</f>
        <v>0</v>
      </c>
      <c r="G141" s="6">
        <f>ROUND($G$11/32*12,4)</f>
        <v>0.0072</v>
      </c>
      <c r="H141" s="6">
        <f>ROUND($H$11/32*12,4)</f>
        <v>0</v>
      </c>
      <c r="I141" s="3">
        <f t="shared" si="59"/>
        <v>0.3971</v>
      </c>
      <c r="J141" s="3">
        <f t="shared" si="38"/>
        <v>0.014402590673575133</v>
      </c>
      <c r="K141" s="5">
        <f t="shared" si="60"/>
        <v>0.4115</v>
      </c>
      <c r="L141" s="3">
        <f>ROUND(L$11/32*12,4)</f>
        <v>-0.0315</v>
      </c>
      <c r="M141" s="3">
        <f>ROUND(M$11/32*12,4)</f>
        <v>0.0878</v>
      </c>
      <c r="N141" s="3">
        <f t="shared" si="61"/>
        <v>0.4678</v>
      </c>
      <c r="O141" s="235"/>
      <c r="P141" s="181"/>
      <c r="Q141" s="117"/>
      <c r="R141" s="117"/>
      <c r="S141" s="118"/>
      <c r="T141" s="119"/>
      <c r="U141" s="119"/>
      <c r="V141" s="115"/>
    </row>
    <row r="142" spans="1:22" ht="13.5" thickBot="1">
      <c r="A142" s="329"/>
      <c r="B142" s="336"/>
      <c r="C142" s="196" t="s">
        <v>42</v>
      </c>
      <c r="D142" s="4">
        <f>'CNTNR COST'!G140</f>
        <v>0.1078</v>
      </c>
      <c r="E142" s="3">
        <f>E139/32*10</f>
        <v>0.21709375</v>
      </c>
      <c r="F142" s="3">
        <f>+$F$14</f>
        <v>0</v>
      </c>
      <c r="G142" s="6">
        <f>ROUND($G$11/32*10,4)</f>
        <v>0.006</v>
      </c>
      <c r="H142" s="6">
        <f>ROUND($H$11/32*10,4)</f>
        <v>0</v>
      </c>
      <c r="I142" s="3">
        <f t="shared" si="59"/>
        <v>0.3309</v>
      </c>
      <c r="J142" s="3">
        <f t="shared" si="38"/>
        <v>0.012001554404145076</v>
      </c>
      <c r="K142" s="5">
        <f t="shared" si="60"/>
        <v>0.3429</v>
      </c>
      <c r="L142" s="3">
        <f>ROUND(L$11/32*10,4)</f>
        <v>-0.0262</v>
      </c>
      <c r="M142" s="3">
        <f>ROUND(M$11/32*10,4)</f>
        <v>0.0732</v>
      </c>
      <c r="N142" s="3">
        <f t="shared" si="61"/>
        <v>0.3899</v>
      </c>
      <c r="O142" s="235"/>
      <c r="P142" s="181">
        <f t="shared" si="62"/>
        <v>0.3899</v>
      </c>
      <c r="Q142" s="117"/>
      <c r="R142" s="117"/>
      <c r="S142" s="118"/>
      <c r="T142" s="119"/>
      <c r="U142" s="119"/>
      <c r="V142" s="115"/>
    </row>
    <row r="143" spans="1:22" ht="13.5" thickBot="1">
      <c r="A143" s="329"/>
      <c r="B143" s="336"/>
      <c r="C143" s="196" t="s">
        <v>43</v>
      </c>
      <c r="D143" s="4">
        <f>'CNTNR COST'!G141</f>
        <v>0.0863</v>
      </c>
      <c r="E143" s="3">
        <f>E139/4</f>
        <v>0.173675</v>
      </c>
      <c r="F143" s="3">
        <f>+$F$15</f>
        <v>0.0247</v>
      </c>
      <c r="G143" s="6">
        <f>ROUND($G$11/4,4)</f>
        <v>0.0048</v>
      </c>
      <c r="H143" s="6">
        <f>ROUND($H$11/4,4)</f>
        <v>0</v>
      </c>
      <c r="I143" s="3">
        <f t="shared" si="59"/>
        <v>0.2895</v>
      </c>
      <c r="J143" s="3">
        <f t="shared" si="38"/>
        <v>0.01050000000000001</v>
      </c>
      <c r="K143" s="5">
        <f t="shared" si="60"/>
        <v>0.3</v>
      </c>
      <c r="L143" s="3">
        <f>ROUND(L$11/4,4)</f>
        <v>-0.021</v>
      </c>
      <c r="M143" s="3">
        <f>ROUND(M$11/4,4)</f>
        <v>0.0585</v>
      </c>
      <c r="N143" s="3">
        <f t="shared" si="61"/>
        <v>0.3375</v>
      </c>
      <c r="O143" s="235"/>
      <c r="P143" s="181">
        <f t="shared" si="62"/>
        <v>0.3375</v>
      </c>
      <c r="Q143" s="117"/>
      <c r="R143" s="117"/>
      <c r="S143" s="118"/>
      <c r="T143" s="119"/>
      <c r="U143" s="119"/>
      <c r="V143" s="115"/>
    </row>
    <row r="144" spans="1:22" ht="13.5" thickBot="1">
      <c r="A144" s="329"/>
      <c r="B144" s="336"/>
      <c r="C144" s="196" t="s">
        <v>44</v>
      </c>
      <c r="D144" s="4">
        <f>'CNTNR COST'!G142</f>
        <v>0.0431</v>
      </c>
      <c r="E144" s="3">
        <f>E139/8</f>
        <v>0.0868375</v>
      </c>
      <c r="F144" s="3">
        <f>+$F$16</f>
        <v>0.0414</v>
      </c>
      <c r="G144" s="6">
        <f>ROUND($G$11/8,4)</f>
        <v>0.0024</v>
      </c>
      <c r="H144" s="6">
        <f>ROUND($H$11/8,4)</f>
        <v>0</v>
      </c>
      <c r="I144" s="3">
        <f t="shared" si="59"/>
        <v>0.1737</v>
      </c>
      <c r="J144" s="3">
        <f t="shared" si="38"/>
        <v>0.0063</v>
      </c>
      <c r="K144" s="5">
        <f t="shared" si="60"/>
        <v>0.18</v>
      </c>
      <c r="L144" s="3">
        <f>ROUND(L$11/8,4)</f>
        <v>-0.0105</v>
      </c>
      <c r="M144" s="3">
        <f>ROUND(M$11/8,4)</f>
        <v>0.0293</v>
      </c>
      <c r="N144" s="3">
        <f t="shared" si="61"/>
        <v>0.1988</v>
      </c>
      <c r="O144" s="235"/>
      <c r="P144" s="181">
        <f t="shared" si="62"/>
        <v>0.1988</v>
      </c>
      <c r="Q144" s="117"/>
      <c r="R144" s="117"/>
      <c r="S144" s="118"/>
      <c r="T144" s="119"/>
      <c r="U144" s="119"/>
      <c r="V144" s="115"/>
    </row>
    <row r="145" spans="1:22" ht="13.5" thickBot="1">
      <c r="A145" s="330"/>
      <c r="B145" s="337"/>
      <c r="C145" s="196" t="s">
        <v>64</v>
      </c>
      <c r="D145" s="198">
        <f>'CNTNR COST'!G143</f>
        <v>0.3451</v>
      </c>
      <c r="E145" s="183">
        <f>E139</f>
        <v>0.6947</v>
      </c>
      <c r="F145" s="183">
        <f>+$F$17</f>
        <v>0.1682</v>
      </c>
      <c r="G145" s="192">
        <f>ROUND($G$11,6)</f>
        <v>0.0192</v>
      </c>
      <c r="H145" s="192">
        <f>ROUND($H$11,6)</f>
        <v>0</v>
      </c>
      <c r="I145" s="183">
        <f t="shared" si="59"/>
        <v>1.2272</v>
      </c>
      <c r="J145" s="183">
        <f t="shared" si="38"/>
        <v>0.04450984455958551</v>
      </c>
      <c r="K145" s="184">
        <f t="shared" si="60"/>
        <v>1.2717</v>
      </c>
      <c r="L145" s="183">
        <f>L$11</f>
        <v>-0.0839</v>
      </c>
      <c r="M145" s="183">
        <f>M$11</f>
        <v>0.2341</v>
      </c>
      <c r="N145" s="183">
        <f t="shared" si="61"/>
        <v>1.4219</v>
      </c>
      <c r="O145" s="236"/>
      <c r="P145" s="185">
        <f t="shared" si="62"/>
        <v>1.4219</v>
      </c>
      <c r="Q145" s="117"/>
      <c r="R145" s="117"/>
      <c r="S145" s="118"/>
      <c r="T145" s="119"/>
      <c r="U145" s="119"/>
      <c r="V145" s="115"/>
    </row>
    <row r="146" spans="16:22" ht="13.5" thickTop="1">
      <c r="P146" s="115"/>
      <c r="Q146" s="115"/>
      <c r="R146" s="115"/>
      <c r="S146" s="115"/>
      <c r="T146" s="115"/>
      <c r="U146" s="115"/>
      <c r="V146" s="115"/>
    </row>
    <row r="156" ht="12.75">
      <c r="C156" s="111">
        <f ca="1">NOW()</f>
        <v>45310.61902488426</v>
      </c>
    </row>
  </sheetData>
  <sheetProtection/>
  <mergeCells count="24">
    <mergeCell ref="A89:B97"/>
    <mergeCell ref="A99:B109"/>
    <mergeCell ref="A111:A118"/>
    <mergeCell ref="B111:B118"/>
    <mergeCell ref="A29:A37"/>
    <mergeCell ref="B29:B37"/>
    <mergeCell ref="A39:A47"/>
    <mergeCell ref="B39:B47"/>
    <mergeCell ref="A138:B145"/>
    <mergeCell ref="A120:A127"/>
    <mergeCell ref="B120:B127"/>
    <mergeCell ref="A129:A136"/>
    <mergeCell ref="B129:B136"/>
    <mergeCell ref="A79:B87"/>
    <mergeCell ref="A69:A77"/>
    <mergeCell ref="B69:B77"/>
    <mergeCell ref="A59:A67"/>
    <mergeCell ref="B59:B67"/>
    <mergeCell ref="A9:A17"/>
    <mergeCell ref="B9:B17"/>
    <mergeCell ref="A19:A27"/>
    <mergeCell ref="B19:B27"/>
    <mergeCell ref="A49:A57"/>
    <mergeCell ref="B49:B57"/>
  </mergeCells>
  <printOptions horizontalCentered="1"/>
  <pageMargins left="0.25" right="0.25" top="0.25" bottom="0.25" header="0.5" footer="0.5"/>
  <pageSetup fitToHeight="0" horizontalDpi="300" verticalDpi="300" orientation="landscape" scale="78" r:id="rId1"/>
  <rowBreaks count="2" manualBreakCount="2">
    <brk id="57" min="2" max="14" man="1"/>
    <brk id="109" min="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57"/>
  <sheetViews>
    <sheetView zoomScaleSheetLayoutView="75" zoomScalePageLayoutView="0" workbookViewId="0" topLeftCell="A1">
      <selection activeCell="G135" sqref="G135:G142"/>
    </sheetView>
  </sheetViews>
  <sheetFormatPr defaultColWidth="9.140625" defaultRowHeight="12.75"/>
  <cols>
    <col min="1" max="2" width="3.7109375" style="0" customWidth="1"/>
    <col min="3" max="3" width="17.00390625" style="0" customWidth="1"/>
    <col min="4" max="4" width="12.7109375" style="0" bestFit="1" customWidth="1"/>
    <col min="5" max="5" width="10.57421875" style="0" bestFit="1" customWidth="1"/>
    <col min="6" max="6" width="10.57421875" style="0" customWidth="1"/>
    <col min="7" max="7" width="10.57421875" style="0" bestFit="1" customWidth="1"/>
    <col min="8" max="9" width="10.57421875" style="0" customWidth="1"/>
    <col min="23" max="23" width="32.00390625" style="0" bestFit="1" customWidth="1"/>
  </cols>
  <sheetData>
    <row r="1" spans="3:23" ht="14.25" customHeight="1">
      <c r="C1" s="122" t="s">
        <v>19</v>
      </c>
      <c r="D1" s="121"/>
      <c r="E1" s="121"/>
      <c r="F1" s="121"/>
      <c r="G1" s="121"/>
      <c r="H1" s="121"/>
      <c r="I1" s="121"/>
      <c r="W1" s="123">
        <f ca="1">NOW()</f>
        <v>45310.61902488426</v>
      </c>
    </row>
    <row r="2" spans="3:9" ht="14.25" customHeight="1">
      <c r="C2" s="122" t="s">
        <v>144</v>
      </c>
      <c r="D2" s="121"/>
      <c r="E2" s="121"/>
      <c r="F2" s="121"/>
      <c r="G2" s="121"/>
      <c r="H2" s="121"/>
      <c r="I2" s="121"/>
    </row>
    <row r="3" spans="3:23" ht="17.25" customHeight="1" thickBot="1">
      <c r="C3" s="123"/>
      <c r="D3" s="121"/>
      <c r="E3" s="121"/>
      <c r="F3" s="121"/>
      <c r="G3" s="121"/>
      <c r="H3" s="121"/>
      <c r="I3" s="121"/>
      <c r="W3" s="127" t="str">
        <f>TEXT(W1,"mmmm d, yyyy h:mm AM/PM")</f>
        <v>January 19, 2024 2:51 PM</v>
      </c>
    </row>
    <row r="4" spans="3:11" ht="12.75">
      <c r="C4" s="126"/>
      <c r="D4" s="139">
        <v>1</v>
      </c>
      <c r="E4" s="147">
        <v>2</v>
      </c>
      <c r="F4" s="147">
        <v>3</v>
      </c>
      <c r="G4" s="147">
        <v>4</v>
      </c>
      <c r="H4" s="147">
        <v>5</v>
      </c>
      <c r="I4" s="147">
        <v>6</v>
      </c>
      <c r="J4" s="147">
        <v>7</v>
      </c>
      <c r="K4" s="147"/>
    </row>
    <row r="5" spans="3:11" ht="12.75">
      <c r="C5" s="113"/>
      <c r="D5" s="140"/>
      <c r="E5" s="254">
        <f>INPUT!B75</f>
        <v>0.135</v>
      </c>
      <c r="F5" s="148" t="s">
        <v>32</v>
      </c>
      <c r="G5" s="148" t="s">
        <v>129</v>
      </c>
      <c r="H5" s="149">
        <f>INPUT!$B$79</f>
        <v>0.027</v>
      </c>
      <c r="I5" s="209"/>
      <c r="J5" s="209"/>
      <c r="K5" s="149"/>
    </row>
    <row r="6" spans="3:11" ht="12.75">
      <c r="C6" s="113"/>
      <c r="D6" s="140"/>
      <c r="E6" s="148" t="s">
        <v>32</v>
      </c>
      <c r="F6" s="148" t="s">
        <v>153</v>
      </c>
      <c r="G6" s="148" t="s">
        <v>26</v>
      </c>
      <c r="H6" s="148" t="s">
        <v>32</v>
      </c>
      <c r="I6" s="209"/>
      <c r="J6" s="209" t="s">
        <v>183</v>
      </c>
      <c r="K6" s="148" t="s">
        <v>184</v>
      </c>
    </row>
    <row r="7" spans="3:11" ht="13.5" thickBot="1">
      <c r="C7" s="113"/>
      <c r="D7" s="141" t="s">
        <v>58</v>
      </c>
      <c r="E7" s="150" t="s">
        <v>128</v>
      </c>
      <c r="F7" s="150" t="s">
        <v>58</v>
      </c>
      <c r="G7" s="150" t="s">
        <v>13</v>
      </c>
      <c r="H7" s="150" t="s">
        <v>18</v>
      </c>
      <c r="I7" s="210" t="s">
        <v>63</v>
      </c>
      <c r="J7" s="210" t="s">
        <v>63</v>
      </c>
      <c r="K7" s="150" t="s">
        <v>185</v>
      </c>
    </row>
    <row r="8" spans="3:11" ht="13.5" thickBot="1">
      <c r="C8" s="113"/>
      <c r="E8" s="138"/>
      <c r="F8" s="138"/>
      <c r="G8" s="138"/>
      <c r="H8" s="138"/>
      <c r="I8" s="211"/>
      <c r="J8" s="211"/>
      <c r="K8" s="138"/>
    </row>
    <row r="9" spans="1:11" ht="14.25" thickBot="1" thickTop="1">
      <c r="A9" s="334" t="s">
        <v>193</v>
      </c>
      <c r="B9" s="331" t="s">
        <v>194</v>
      </c>
      <c r="C9" s="143" t="s">
        <v>9</v>
      </c>
      <c r="D9" s="144">
        <f>WHOLESALE!N9</f>
        <v>2.0119</v>
      </c>
      <c r="E9" s="151">
        <f>ROUND(-INPUT!$B$75*D9,4)</f>
        <v>-0.2716</v>
      </c>
      <c r="F9" s="151">
        <f aca="true" t="shared" si="0" ref="F9:F17">$D9+E9</f>
        <v>1.7402999999999997</v>
      </c>
      <c r="G9" s="151">
        <f>INPUT!E$103</f>
        <v>0</v>
      </c>
      <c r="H9" s="151">
        <f>ROUND((G9+E9+D9)/(1-INPUT!$B$79)-(G9+E9+D9),4)</f>
        <v>0.0483</v>
      </c>
      <c r="I9" s="212">
        <f aca="true" t="shared" si="1" ref="I9:I17">IF(ROUND(F9+G9+H9,2)&gt;D9,ROUND(F9+G9+H9,2),0.005+D9)</f>
        <v>2.0168999999999997</v>
      </c>
      <c r="J9" s="237"/>
      <c r="K9" s="152">
        <f>I9-J9</f>
        <v>2.0168999999999997</v>
      </c>
    </row>
    <row r="10" spans="1:11" ht="13.5" thickBot="1">
      <c r="A10" s="329"/>
      <c r="B10" s="332"/>
      <c r="C10" s="143" t="s">
        <v>41</v>
      </c>
      <c r="D10" s="142">
        <f>WHOLESALE!N10</f>
        <v>1.0284</v>
      </c>
      <c r="E10" s="153">
        <f>ROUND(-INPUT!$B$75*D10,4)</f>
        <v>-0.1388</v>
      </c>
      <c r="F10" s="153">
        <f t="shared" si="0"/>
        <v>0.8896</v>
      </c>
      <c r="G10" s="153">
        <f>INPUT!E$104</f>
        <v>0</v>
      </c>
      <c r="H10" s="153">
        <f>ROUND((G10+E10+D10)/(1-INPUT!$B$79)-(G10+E10+D10),4)</f>
        <v>0.0247</v>
      </c>
      <c r="I10" s="213">
        <f t="shared" si="1"/>
        <v>1.0333999999999999</v>
      </c>
      <c r="J10" s="238"/>
      <c r="K10" s="154">
        <f aca="true" t="shared" si="2" ref="K10:K17">I10-J10</f>
        <v>1.0333999999999999</v>
      </c>
    </row>
    <row r="11" spans="1:11" ht="13.5" thickBot="1">
      <c r="A11" s="329"/>
      <c r="B11" s="332"/>
      <c r="C11" s="143" t="s">
        <v>10</v>
      </c>
      <c r="D11" s="142">
        <f>WHOLESALE!N11</f>
        <v>0.579</v>
      </c>
      <c r="E11" s="153">
        <f>ROUND(-INPUT!$B$75*D11,4)</f>
        <v>-0.0782</v>
      </c>
      <c r="F11" s="153">
        <f t="shared" si="0"/>
        <v>0.5007999999999999</v>
      </c>
      <c r="G11" s="155">
        <f>INPUT!E$105</f>
        <v>0</v>
      </c>
      <c r="H11" s="155">
        <f>ROUND((G11+E11+D11)/(1-INPUT!$B$79)-(G11+E11+D11),4)</f>
        <v>0.0139</v>
      </c>
      <c r="I11" s="214">
        <f t="shared" si="1"/>
        <v>0.584</v>
      </c>
      <c r="J11" s="239"/>
      <c r="K11" s="154">
        <f t="shared" si="2"/>
        <v>0.584</v>
      </c>
    </row>
    <row r="12" spans="1:11" ht="13.5" thickBot="1">
      <c r="A12" s="329"/>
      <c r="B12" s="332"/>
      <c r="C12" s="143" t="s">
        <v>11</v>
      </c>
      <c r="D12" s="142">
        <f>WHOLESALE!N12</f>
        <v>0.331</v>
      </c>
      <c r="E12" s="153">
        <f>ROUND(-INPUT!$B$75*D12,4)</f>
        <v>-0.0447</v>
      </c>
      <c r="F12" s="153">
        <f t="shared" si="0"/>
        <v>0.2863</v>
      </c>
      <c r="G12" s="153">
        <f>INPUT!E$106</f>
        <v>0</v>
      </c>
      <c r="H12" s="153">
        <f>ROUND((G12+E12+D12)/(1-INPUT!$B$79)-(G12+E12+D12),4)</f>
        <v>0.0079</v>
      </c>
      <c r="I12" s="213">
        <f t="shared" si="1"/>
        <v>0.336</v>
      </c>
      <c r="J12" s="238"/>
      <c r="K12" s="154">
        <f t="shared" si="2"/>
        <v>0.336</v>
      </c>
    </row>
    <row r="13" spans="1:11" ht="13.5" thickBot="1">
      <c r="A13" s="329"/>
      <c r="B13" s="332"/>
      <c r="C13" s="143" t="s">
        <v>212</v>
      </c>
      <c r="D13" s="142">
        <f>WHOLESALE!N13</f>
        <v>0.2642</v>
      </c>
      <c r="E13" s="153">
        <f>ROUND(-INPUT!$B$75*D13,4)</f>
        <v>-0.0357</v>
      </c>
      <c r="F13" s="153">
        <f t="shared" si="0"/>
        <v>0.22849999999999998</v>
      </c>
      <c r="G13" s="153">
        <f>INPUT!E$107</f>
        <v>0</v>
      </c>
      <c r="H13" s="153">
        <f>ROUND((G13+E13+D13)/(1-INPUT!$B$79)-(G13+E13+D13),4)</f>
        <v>0.0063</v>
      </c>
      <c r="I13" s="213">
        <f t="shared" si="1"/>
        <v>0.2692</v>
      </c>
      <c r="J13" s="238"/>
      <c r="K13" s="154"/>
    </row>
    <row r="14" spans="1:11" ht="13.5" thickBot="1">
      <c r="A14" s="329"/>
      <c r="B14" s="332"/>
      <c r="C14" s="143" t="s">
        <v>42</v>
      </c>
      <c r="D14" s="142">
        <f>WHOLESALE!N14</f>
        <v>0.2545</v>
      </c>
      <c r="E14" s="153">
        <f>ROUND(-INPUT!$B$75*D14,4)</f>
        <v>-0.0344</v>
      </c>
      <c r="F14" s="153">
        <f t="shared" si="0"/>
        <v>0.22010000000000002</v>
      </c>
      <c r="G14" s="153">
        <f>INPUT!E$108</f>
        <v>0</v>
      </c>
      <c r="H14" s="153">
        <f>ROUND((G14+E14+D14)/(1-INPUT!$B$79)-(G14+E14+D14),4)</f>
        <v>0.0061</v>
      </c>
      <c r="I14" s="213">
        <f t="shared" si="1"/>
        <v>0.2595</v>
      </c>
      <c r="J14" s="238"/>
      <c r="K14" s="154">
        <f t="shared" si="2"/>
        <v>0.2595</v>
      </c>
    </row>
    <row r="15" spans="1:11" ht="13.5" thickBot="1">
      <c r="A15" s="329"/>
      <c r="B15" s="332"/>
      <c r="C15" s="143" t="s">
        <v>43</v>
      </c>
      <c r="D15" s="142">
        <f>WHOLESALE!N15</f>
        <v>0.1582</v>
      </c>
      <c r="E15" s="153">
        <f>ROUND(-INPUT!$B$75*D15,4)</f>
        <v>-0.0214</v>
      </c>
      <c r="F15" s="153">
        <f t="shared" si="0"/>
        <v>0.1368</v>
      </c>
      <c r="G15" s="153">
        <f>INPUT!E$109</f>
        <v>0</v>
      </c>
      <c r="H15" s="153">
        <f>ROUND((G15+E15+D15)/(1-INPUT!$B$79)-(G15+E15+D15),4)</f>
        <v>0.0038</v>
      </c>
      <c r="I15" s="213">
        <f t="shared" si="1"/>
        <v>0.1632</v>
      </c>
      <c r="J15" s="238"/>
      <c r="K15" s="154">
        <f t="shared" si="2"/>
        <v>0.1632</v>
      </c>
    </row>
    <row r="16" spans="1:11" ht="13.5" thickBot="1">
      <c r="A16" s="329"/>
      <c r="B16" s="332"/>
      <c r="C16" s="143" t="s">
        <v>44</v>
      </c>
      <c r="D16" s="142">
        <f>WHOLESALE!N16</f>
        <v>0.1492</v>
      </c>
      <c r="E16" s="153">
        <f>ROUND(-INPUT!$B$75*D16,4)</f>
        <v>-0.0201</v>
      </c>
      <c r="F16" s="153">
        <f t="shared" si="0"/>
        <v>0.1291</v>
      </c>
      <c r="G16" s="153">
        <f>INPUT!E$110</f>
        <v>0</v>
      </c>
      <c r="H16" s="153">
        <f>ROUND((G16+E16+D16)/(1-INPUT!$B$79)-(G16+E16+D16),4)</f>
        <v>0.0036</v>
      </c>
      <c r="I16" s="213">
        <f t="shared" si="1"/>
        <v>0.1542</v>
      </c>
      <c r="J16" s="238"/>
      <c r="K16" s="154">
        <f t="shared" si="2"/>
        <v>0.1542</v>
      </c>
    </row>
    <row r="17" spans="1:11" ht="13.5" thickBot="1">
      <c r="A17" s="330"/>
      <c r="B17" s="333"/>
      <c r="C17" s="143" t="s">
        <v>64</v>
      </c>
      <c r="D17" s="145">
        <f>WHOLESALE!N17</f>
        <v>0.7858</v>
      </c>
      <c r="E17" s="156">
        <f>ROUND(-INPUT!$B$75*D17,4)</f>
        <v>-0.1061</v>
      </c>
      <c r="F17" s="156">
        <f t="shared" si="0"/>
        <v>0.6797000000000001</v>
      </c>
      <c r="G17" s="156">
        <f>INPUT!E$111</f>
        <v>0</v>
      </c>
      <c r="H17" s="156">
        <f>ROUND((G17+E17+D17)/(1-INPUT!$B$79)-(G17+E17+D17),4)</f>
        <v>0.0189</v>
      </c>
      <c r="I17" s="215">
        <f t="shared" si="1"/>
        <v>0.7908000000000001</v>
      </c>
      <c r="J17" s="240"/>
      <c r="K17" s="157">
        <f t="shared" si="2"/>
        <v>0.7908000000000001</v>
      </c>
    </row>
    <row r="18" spans="3:10" ht="14.25" thickBot="1" thickTop="1">
      <c r="C18" s="124"/>
      <c r="D18" s="9"/>
      <c r="E18" s="138"/>
      <c r="F18" s="138"/>
      <c r="G18" s="138"/>
      <c r="H18" s="138"/>
      <c r="I18" s="138"/>
      <c r="J18" s="138"/>
    </row>
    <row r="19" spans="1:11" ht="14.25" thickBot="1" thickTop="1">
      <c r="A19" s="334" t="s">
        <v>195</v>
      </c>
      <c r="B19" s="331" t="s">
        <v>194</v>
      </c>
      <c r="C19" s="143" t="s">
        <v>9</v>
      </c>
      <c r="D19" s="144">
        <f>WHOLESALE!N19</f>
        <v>2.0128</v>
      </c>
      <c r="E19" s="151">
        <f>ROUND(-INPUT!$B$75*D19,4)</f>
        <v>-0.2717</v>
      </c>
      <c r="F19" s="151">
        <f aca="true" t="shared" si="3" ref="F19:F27">$D19+E19</f>
        <v>1.7410999999999999</v>
      </c>
      <c r="G19" s="151">
        <f>INPUT!E$103</f>
        <v>0</v>
      </c>
      <c r="H19" s="151">
        <f>ROUND((G19+E19+D19)/(1-INPUT!$B$79)-(G19+E19+D19),4)</f>
        <v>0.0483</v>
      </c>
      <c r="I19" s="212">
        <f aca="true" t="shared" si="4" ref="I19:I27">IF(ROUND(F19+G19+H19,2)&gt;D19,ROUND(F19+G19+H19,2),0.005+D19)</f>
        <v>2.0178</v>
      </c>
      <c r="J19" s="237"/>
      <c r="K19" s="152">
        <f>I19-J19</f>
        <v>2.0178</v>
      </c>
    </row>
    <row r="20" spans="1:11" ht="13.5" thickBot="1">
      <c r="A20" s="329"/>
      <c r="B20" s="332"/>
      <c r="C20" s="143" t="s">
        <v>41</v>
      </c>
      <c r="D20" s="142">
        <f>WHOLESALE!N20</f>
        <v>1.0288</v>
      </c>
      <c r="E20" s="153">
        <f>ROUND(-INPUT!$B$75*D20,4)</f>
        <v>-0.1389</v>
      </c>
      <c r="F20" s="153">
        <f t="shared" si="3"/>
        <v>0.8898999999999999</v>
      </c>
      <c r="G20" s="153">
        <f>INPUT!E$104</f>
        <v>0</v>
      </c>
      <c r="H20" s="153">
        <f>ROUND((G20+E20+D20)/(1-INPUT!$B$79)-(G20+E20+D20),4)</f>
        <v>0.0247</v>
      </c>
      <c r="I20" s="213">
        <f t="shared" si="4"/>
        <v>1.0337999999999998</v>
      </c>
      <c r="J20" s="238"/>
      <c r="K20" s="154">
        <f aca="true" t="shared" si="5" ref="K20:K27">I20-J20</f>
        <v>1.0337999999999998</v>
      </c>
    </row>
    <row r="21" spans="1:11" ht="13.5" thickBot="1">
      <c r="A21" s="329"/>
      <c r="B21" s="332"/>
      <c r="C21" s="143" t="s">
        <v>10</v>
      </c>
      <c r="D21" s="142">
        <f>WHOLESALE!N21</f>
        <v>0.5792</v>
      </c>
      <c r="E21" s="153">
        <f>ROUND(-INPUT!$B$75*D21,4)</f>
        <v>-0.0782</v>
      </c>
      <c r="F21" s="153">
        <f t="shared" si="3"/>
        <v>0.501</v>
      </c>
      <c r="G21" s="155">
        <f>INPUT!E$105</f>
        <v>0</v>
      </c>
      <c r="H21" s="155">
        <f>ROUND((G21+E21+D21)/(1-INPUT!$B$79)-(G21+E21+D21),4)</f>
        <v>0.0139</v>
      </c>
      <c r="I21" s="214">
        <f t="shared" si="4"/>
        <v>0.5842</v>
      </c>
      <c r="J21" s="239"/>
      <c r="K21" s="154">
        <f t="shared" si="5"/>
        <v>0.5842</v>
      </c>
    </row>
    <row r="22" spans="1:11" ht="13.5" thickBot="1">
      <c r="A22" s="329"/>
      <c r="B22" s="332"/>
      <c r="C22" s="143" t="s">
        <v>11</v>
      </c>
      <c r="D22" s="142">
        <f>WHOLESALE!N22</f>
        <v>0.3311</v>
      </c>
      <c r="E22" s="153">
        <f>ROUND(-INPUT!$B$75*D22,4)</f>
        <v>-0.0447</v>
      </c>
      <c r="F22" s="153">
        <f t="shared" si="3"/>
        <v>0.2864</v>
      </c>
      <c r="G22" s="153">
        <f>INPUT!E$106</f>
        <v>0</v>
      </c>
      <c r="H22" s="153">
        <f>ROUND((G22+E22+D22)/(1-INPUT!$B$79)-(G22+E22+D22),4)</f>
        <v>0.0079</v>
      </c>
      <c r="I22" s="213">
        <f t="shared" si="4"/>
        <v>0.3361</v>
      </c>
      <c r="J22" s="238"/>
      <c r="K22" s="154">
        <f t="shared" si="5"/>
        <v>0.3361</v>
      </c>
    </row>
    <row r="23" spans="1:11" ht="13.5" thickBot="1">
      <c r="A23" s="329"/>
      <c r="B23" s="332"/>
      <c r="C23" s="143" t="s">
        <v>212</v>
      </c>
      <c r="D23" s="142">
        <f>WHOLESALE!N23</f>
        <v>0.2643</v>
      </c>
      <c r="E23" s="153">
        <f>ROUND(-INPUT!$B$75*D23,4)</f>
        <v>-0.0357</v>
      </c>
      <c r="F23" s="153">
        <f t="shared" si="3"/>
        <v>0.22859999999999997</v>
      </c>
      <c r="G23" s="153">
        <f>INPUT!E$107</f>
        <v>0</v>
      </c>
      <c r="H23" s="153">
        <f>ROUND((G23+E23+D23)/(1-INPUT!$B$79)-(G23+E23+D23),4)</f>
        <v>0.0063</v>
      </c>
      <c r="I23" s="213">
        <f t="shared" si="4"/>
        <v>0.2693</v>
      </c>
      <c r="J23" s="238"/>
      <c r="K23" s="154"/>
    </row>
    <row r="24" spans="1:11" ht="13.5" thickBot="1">
      <c r="A24" s="329"/>
      <c r="B24" s="332"/>
      <c r="C24" s="143" t="s">
        <v>42</v>
      </c>
      <c r="D24" s="142">
        <f>WHOLESALE!N24</f>
        <v>0.2545</v>
      </c>
      <c r="E24" s="153">
        <f>ROUND(-INPUT!$B$75*D24,4)</f>
        <v>-0.0344</v>
      </c>
      <c r="F24" s="153">
        <f t="shared" si="3"/>
        <v>0.22010000000000002</v>
      </c>
      <c r="G24" s="153">
        <f>INPUT!E$108</f>
        <v>0</v>
      </c>
      <c r="H24" s="153">
        <f>ROUND((G24+E24+D24)/(1-INPUT!$B$79)-(G24+E24+D24),4)</f>
        <v>0.0061</v>
      </c>
      <c r="I24" s="213">
        <f t="shared" si="4"/>
        <v>0.2595</v>
      </c>
      <c r="J24" s="238"/>
      <c r="K24" s="154">
        <f t="shared" si="5"/>
        <v>0.2595</v>
      </c>
    </row>
    <row r="25" spans="1:11" ht="13.5" thickBot="1">
      <c r="A25" s="329"/>
      <c r="B25" s="332"/>
      <c r="C25" s="143" t="s">
        <v>43</v>
      </c>
      <c r="D25" s="142">
        <f>WHOLESALE!N25</f>
        <v>0.1583</v>
      </c>
      <c r="E25" s="153">
        <f>ROUND(-INPUT!$B$75*D25,4)</f>
        <v>-0.0214</v>
      </c>
      <c r="F25" s="153">
        <f t="shared" si="3"/>
        <v>0.1369</v>
      </c>
      <c r="G25" s="153">
        <f>INPUT!E$109</f>
        <v>0</v>
      </c>
      <c r="H25" s="153">
        <f>ROUND((G25+E25+D25)/(1-INPUT!$B$79)-(G25+E25+D25),4)</f>
        <v>0.0038</v>
      </c>
      <c r="I25" s="213">
        <f t="shared" si="4"/>
        <v>0.1633</v>
      </c>
      <c r="J25" s="238"/>
      <c r="K25" s="154">
        <f t="shared" si="5"/>
        <v>0.1633</v>
      </c>
    </row>
    <row r="26" spans="1:11" ht="13.5" thickBot="1">
      <c r="A26" s="329"/>
      <c r="B26" s="332"/>
      <c r="C26" s="143" t="s">
        <v>44</v>
      </c>
      <c r="D26" s="142">
        <f>WHOLESALE!N26</f>
        <v>0.1493</v>
      </c>
      <c r="E26" s="153">
        <f>ROUND(-INPUT!$B$75*D26,4)</f>
        <v>-0.0202</v>
      </c>
      <c r="F26" s="153">
        <f t="shared" si="3"/>
        <v>0.1291</v>
      </c>
      <c r="G26" s="153">
        <f>INPUT!E$110</f>
        <v>0</v>
      </c>
      <c r="H26" s="153">
        <f>ROUND((G26+E26+D26)/(1-INPUT!$B$79)-(G26+E26+D26),4)</f>
        <v>0.0036</v>
      </c>
      <c r="I26" s="213">
        <f t="shared" si="4"/>
        <v>0.1543</v>
      </c>
      <c r="J26" s="238"/>
      <c r="K26" s="154">
        <f t="shared" si="5"/>
        <v>0.1543</v>
      </c>
    </row>
    <row r="27" spans="1:11" ht="13.5" thickBot="1">
      <c r="A27" s="330"/>
      <c r="B27" s="333"/>
      <c r="C27" s="143" t="s">
        <v>64</v>
      </c>
      <c r="D27" s="145">
        <f>WHOLESALE!N27</f>
        <v>0.7861</v>
      </c>
      <c r="E27" s="156">
        <f>ROUND(-INPUT!$B$75*D27,4)</f>
        <v>-0.1061</v>
      </c>
      <c r="F27" s="156">
        <f t="shared" si="3"/>
        <v>0.68</v>
      </c>
      <c r="G27" s="156">
        <f>INPUT!E$111</f>
        <v>0</v>
      </c>
      <c r="H27" s="156">
        <f>ROUND((G27+E27+D27)/(1-INPUT!$B$79)-(G27+E27+D27),4)</f>
        <v>0.0189</v>
      </c>
      <c r="I27" s="215">
        <f t="shared" si="4"/>
        <v>0.7911</v>
      </c>
      <c r="J27" s="240"/>
      <c r="K27" s="157">
        <f t="shared" si="5"/>
        <v>0.7911</v>
      </c>
    </row>
    <row r="28" spans="3:10" ht="14.25" thickBot="1" thickTop="1">
      <c r="C28" s="125"/>
      <c r="D28" s="9"/>
      <c r="E28" s="138"/>
      <c r="F28" s="138"/>
      <c r="G28" s="138"/>
      <c r="H28" s="138"/>
      <c r="I28" s="138"/>
      <c r="J28" s="138"/>
    </row>
    <row r="29" spans="1:11" ht="14.25" thickBot="1" thickTop="1">
      <c r="A29" s="334" t="s">
        <v>196</v>
      </c>
      <c r="B29" s="331" t="s">
        <v>194</v>
      </c>
      <c r="C29" s="143" t="s">
        <v>9</v>
      </c>
      <c r="D29" s="144">
        <f>WHOLESALE!N29</f>
        <v>2.0128</v>
      </c>
      <c r="E29" s="151">
        <f>ROUND(-INPUT!$B$75*D29,4)</f>
        <v>-0.2717</v>
      </c>
      <c r="F29" s="151">
        <f aca="true" t="shared" si="6" ref="F29:F37">$D29+E29</f>
        <v>1.7410999999999999</v>
      </c>
      <c r="G29" s="151">
        <f>INPUT!E$103</f>
        <v>0</v>
      </c>
      <c r="H29" s="151">
        <f>ROUND((G29+E29+D29)/(1-INPUT!$B$79)-(G29+E29+D29),4)</f>
        <v>0.0483</v>
      </c>
      <c r="I29" s="212">
        <f aca="true" t="shared" si="7" ref="I29:I37">IF(ROUND(F29+G29+H29,2)&gt;D29,ROUND(F29+G29+H29,2),0.005+D29)</f>
        <v>2.0178</v>
      </c>
      <c r="J29" s="237"/>
      <c r="K29" s="152">
        <f>I29-J29</f>
        <v>2.0178</v>
      </c>
    </row>
    <row r="30" spans="1:11" ht="13.5" thickBot="1">
      <c r="A30" s="329"/>
      <c r="B30" s="332"/>
      <c r="C30" s="143" t="s">
        <v>41</v>
      </c>
      <c r="D30" s="142">
        <f>WHOLESALE!N30</f>
        <v>1.0288</v>
      </c>
      <c r="E30" s="153">
        <f>ROUND(-INPUT!$B$75*D30,4)</f>
        <v>-0.1389</v>
      </c>
      <c r="F30" s="153">
        <f t="shared" si="6"/>
        <v>0.8898999999999999</v>
      </c>
      <c r="G30" s="153">
        <f>INPUT!E$104</f>
        <v>0</v>
      </c>
      <c r="H30" s="153">
        <f>ROUND((G30+E30+D30)/(1-INPUT!$B$79)-(G30+E30+D30),4)</f>
        <v>0.0247</v>
      </c>
      <c r="I30" s="213">
        <f t="shared" si="7"/>
        <v>1.0337999999999998</v>
      </c>
      <c r="J30" s="238"/>
      <c r="K30" s="154">
        <f aca="true" t="shared" si="8" ref="K30:K37">I30-J30</f>
        <v>1.0337999999999998</v>
      </c>
    </row>
    <row r="31" spans="1:11" ht="13.5" thickBot="1">
      <c r="A31" s="329"/>
      <c r="B31" s="332"/>
      <c r="C31" s="143" t="s">
        <v>10</v>
      </c>
      <c r="D31" s="142">
        <f>WHOLESALE!N31</f>
        <v>0.5792</v>
      </c>
      <c r="E31" s="153">
        <f>ROUND(-INPUT!$B$75*D31,4)</f>
        <v>-0.0782</v>
      </c>
      <c r="F31" s="153">
        <f t="shared" si="6"/>
        <v>0.501</v>
      </c>
      <c r="G31" s="155">
        <f>INPUT!E$105</f>
        <v>0</v>
      </c>
      <c r="H31" s="155">
        <f>ROUND((G31+E31+D31)/(1-INPUT!$B$79)-(G31+E31+D31),4)</f>
        <v>0.0139</v>
      </c>
      <c r="I31" s="214">
        <f t="shared" si="7"/>
        <v>0.5842</v>
      </c>
      <c r="J31" s="239"/>
      <c r="K31" s="154">
        <f t="shared" si="8"/>
        <v>0.5842</v>
      </c>
    </row>
    <row r="32" spans="1:11" ht="13.5" thickBot="1">
      <c r="A32" s="329"/>
      <c r="B32" s="332"/>
      <c r="C32" s="143" t="s">
        <v>11</v>
      </c>
      <c r="D32" s="142">
        <f>WHOLESALE!N32</f>
        <v>0.3311</v>
      </c>
      <c r="E32" s="153">
        <f>ROUND(-INPUT!$B$75*D32,4)</f>
        <v>-0.0447</v>
      </c>
      <c r="F32" s="153">
        <f t="shared" si="6"/>
        <v>0.2864</v>
      </c>
      <c r="G32" s="153">
        <f>INPUT!E$106</f>
        <v>0</v>
      </c>
      <c r="H32" s="153">
        <f>ROUND((G32+E32+D32)/(1-INPUT!$B$79)-(G32+E32+D32),4)</f>
        <v>0.0079</v>
      </c>
      <c r="I32" s="213">
        <f t="shared" si="7"/>
        <v>0.3361</v>
      </c>
      <c r="J32" s="238"/>
      <c r="K32" s="154">
        <f t="shared" si="8"/>
        <v>0.3361</v>
      </c>
    </row>
    <row r="33" spans="1:11" ht="13.5" thickBot="1">
      <c r="A33" s="329"/>
      <c r="B33" s="332"/>
      <c r="C33" s="143" t="s">
        <v>212</v>
      </c>
      <c r="D33" s="142">
        <f>WHOLESALE!N33</f>
        <v>0.2643</v>
      </c>
      <c r="E33" s="153">
        <f>ROUND(-INPUT!$B$75*D33,4)</f>
        <v>-0.0357</v>
      </c>
      <c r="F33" s="153">
        <f t="shared" si="6"/>
        <v>0.22859999999999997</v>
      </c>
      <c r="G33" s="153">
        <f>INPUT!E$107</f>
        <v>0</v>
      </c>
      <c r="H33" s="153">
        <f>ROUND((G33+E33+D33)/(1-INPUT!$B$79)-(G33+E33+D33),4)</f>
        <v>0.0063</v>
      </c>
      <c r="I33" s="213">
        <f t="shared" si="7"/>
        <v>0.2693</v>
      </c>
      <c r="J33" s="238"/>
      <c r="K33" s="154"/>
    </row>
    <row r="34" spans="1:11" ht="13.5" thickBot="1">
      <c r="A34" s="329"/>
      <c r="B34" s="332"/>
      <c r="C34" s="143" t="s">
        <v>42</v>
      </c>
      <c r="D34" s="142">
        <f>WHOLESALE!N34</f>
        <v>0.2545</v>
      </c>
      <c r="E34" s="153">
        <f>ROUND(-INPUT!$B$75*D34,4)</f>
        <v>-0.0344</v>
      </c>
      <c r="F34" s="153">
        <f t="shared" si="6"/>
        <v>0.22010000000000002</v>
      </c>
      <c r="G34" s="153">
        <f>INPUT!E$108</f>
        <v>0</v>
      </c>
      <c r="H34" s="153">
        <f>ROUND((G34+E34+D34)/(1-INPUT!$B$79)-(G34+E34+D34),4)</f>
        <v>0.0061</v>
      </c>
      <c r="I34" s="213">
        <f t="shared" si="7"/>
        <v>0.2595</v>
      </c>
      <c r="J34" s="238"/>
      <c r="K34" s="154">
        <f t="shared" si="8"/>
        <v>0.2595</v>
      </c>
    </row>
    <row r="35" spans="1:11" ht="13.5" thickBot="1">
      <c r="A35" s="329"/>
      <c r="B35" s="332"/>
      <c r="C35" s="143" t="s">
        <v>43</v>
      </c>
      <c r="D35" s="142">
        <f>WHOLESALE!N35</f>
        <v>0.1583</v>
      </c>
      <c r="E35" s="153">
        <f>ROUND(-INPUT!$B$75*D35,4)</f>
        <v>-0.0214</v>
      </c>
      <c r="F35" s="153">
        <f t="shared" si="6"/>
        <v>0.1369</v>
      </c>
      <c r="G35" s="153">
        <f>INPUT!E$109</f>
        <v>0</v>
      </c>
      <c r="H35" s="153">
        <f>ROUND((G35+E35+D35)/(1-INPUT!$B$79)-(G35+E35+D35),4)</f>
        <v>0.0038</v>
      </c>
      <c r="I35" s="213">
        <f t="shared" si="7"/>
        <v>0.1633</v>
      </c>
      <c r="J35" s="238"/>
      <c r="K35" s="154">
        <f t="shared" si="8"/>
        <v>0.1633</v>
      </c>
    </row>
    <row r="36" spans="1:11" ht="13.5" thickBot="1">
      <c r="A36" s="329"/>
      <c r="B36" s="332"/>
      <c r="C36" s="143" t="s">
        <v>44</v>
      </c>
      <c r="D36" s="142">
        <f>WHOLESALE!N36</f>
        <v>0.1493</v>
      </c>
      <c r="E36" s="153">
        <f>ROUND(-INPUT!$B$75*D36,4)</f>
        <v>-0.0202</v>
      </c>
      <c r="F36" s="153">
        <f t="shared" si="6"/>
        <v>0.1291</v>
      </c>
      <c r="G36" s="153">
        <f>INPUT!E$110</f>
        <v>0</v>
      </c>
      <c r="H36" s="153">
        <f>ROUND((G36+E36+D36)/(1-INPUT!$B$79)-(G36+E36+D36),4)</f>
        <v>0.0036</v>
      </c>
      <c r="I36" s="213">
        <f t="shared" si="7"/>
        <v>0.1543</v>
      </c>
      <c r="J36" s="238"/>
      <c r="K36" s="154">
        <f t="shared" si="8"/>
        <v>0.1543</v>
      </c>
    </row>
    <row r="37" spans="1:11" ht="13.5" thickBot="1">
      <c r="A37" s="330"/>
      <c r="B37" s="333"/>
      <c r="C37" s="143" t="s">
        <v>64</v>
      </c>
      <c r="D37" s="145">
        <f>WHOLESALE!N37</f>
        <v>0.7861</v>
      </c>
      <c r="E37" s="156">
        <f>ROUND(-INPUT!$B$75*D37,4)</f>
        <v>-0.1061</v>
      </c>
      <c r="F37" s="156">
        <f t="shared" si="6"/>
        <v>0.68</v>
      </c>
      <c r="G37" s="156">
        <f>INPUT!E$111</f>
        <v>0</v>
      </c>
      <c r="H37" s="156">
        <f>ROUND((G37+E37+D37)/(1-INPUT!$B$79)-(G37+E37+D37),4)</f>
        <v>0.0189</v>
      </c>
      <c r="I37" s="215">
        <f t="shared" si="7"/>
        <v>0.7911</v>
      </c>
      <c r="J37" s="240"/>
      <c r="K37" s="157">
        <f t="shared" si="8"/>
        <v>0.7911</v>
      </c>
    </row>
    <row r="38" spans="3:10" ht="14.25" thickBot="1" thickTop="1">
      <c r="C38" s="125"/>
      <c r="D38" s="9"/>
      <c r="E38" s="138"/>
      <c r="F38" s="138"/>
      <c r="G38" s="138"/>
      <c r="H38" s="138"/>
      <c r="I38" s="138"/>
      <c r="J38" s="138"/>
    </row>
    <row r="39" spans="1:11" ht="14.25" thickBot="1" thickTop="1">
      <c r="A39" s="334" t="s">
        <v>197</v>
      </c>
      <c r="B39" s="331" t="s">
        <v>194</v>
      </c>
      <c r="C39" s="143" t="s">
        <v>9</v>
      </c>
      <c r="D39" s="144">
        <f>WHOLESALE!N39</f>
        <v>2.0128</v>
      </c>
      <c r="E39" s="151">
        <f>ROUND(-INPUT!$B$75*D39,4)</f>
        <v>-0.2717</v>
      </c>
      <c r="F39" s="151">
        <f aca="true" t="shared" si="9" ref="F39:F47">$D39+E39</f>
        <v>1.7410999999999999</v>
      </c>
      <c r="G39" s="151">
        <f>INPUT!E$103</f>
        <v>0</v>
      </c>
      <c r="H39" s="151">
        <f>ROUND((G39+E39+D39)/(1-INPUT!$B$79)-(G39+E39+D39),4)</f>
        <v>0.0483</v>
      </c>
      <c r="I39" s="212">
        <f aca="true" t="shared" si="10" ref="I39:I47">IF(ROUND(F39+G39+H39,2)&gt;D39,ROUND(F39+G39+H39,2),0.005+D39)</f>
        <v>2.0178</v>
      </c>
      <c r="J39" s="237"/>
      <c r="K39" s="152">
        <f>I39-J39</f>
        <v>2.0178</v>
      </c>
    </row>
    <row r="40" spans="1:11" ht="13.5" thickBot="1">
      <c r="A40" s="329"/>
      <c r="B40" s="332"/>
      <c r="C40" s="143" t="s">
        <v>41</v>
      </c>
      <c r="D40" s="142">
        <f>WHOLESALE!N40</f>
        <v>1.0288</v>
      </c>
      <c r="E40" s="153">
        <f>ROUND(-INPUT!$B$75*D40,4)</f>
        <v>-0.1389</v>
      </c>
      <c r="F40" s="153">
        <f t="shared" si="9"/>
        <v>0.8898999999999999</v>
      </c>
      <c r="G40" s="153">
        <f>INPUT!E$104</f>
        <v>0</v>
      </c>
      <c r="H40" s="153">
        <f>ROUND((G40+E40+D40)/(1-INPUT!$B$79)-(G40+E40+D40),4)</f>
        <v>0.0247</v>
      </c>
      <c r="I40" s="213">
        <f t="shared" si="10"/>
        <v>1.0337999999999998</v>
      </c>
      <c r="J40" s="238"/>
      <c r="K40" s="154">
        <f aca="true" t="shared" si="11" ref="K40:K47">I40-J40</f>
        <v>1.0337999999999998</v>
      </c>
    </row>
    <row r="41" spans="1:11" ht="13.5" thickBot="1">
      <c r="A41" s="329"/>
      <c r="B41" s="332"/>
      <c r="C41" s="143" t="s">
        <v>10</v>
      </c>
      <c r="D41" s="142">
        <f>WHOLESALE!N41</f>
        <v>0.5792</v>
      </c>
      <c r="E41" s="153">
        <f>ROUND(-INPUT!$B$75*D41,4)</f>
        <v>-0.0782</v>
      </c>
      <c r="F41" s="153">
        <f t="shared" si="9"/>
        <v>0.501</v>
      </c>
      <c r="G41" s="155">
        <f>INPUT!E$105</f>
        <v>0</v>
      </c>
      <c r="H41" s="155">
        <f>ROUND((G41+E41+D41)/(1-INPUT!$B$79)-(G41+E41+D41),4)</f>
        <v>0.0139</v>
      </c>
      <c r="I41" s="214">
        <f t="shared" si="10"/>
        <v>0.5842</v>
      </c>
      <c r="J41" s="239"/>
      <c r="K41" s="154">
        <f t="shared" si="11"/>
        <v>0.5842</v>
      </c>
    </row>
    <row r="42" spans="1:11" ht="13.5" thickBot="1">
      <c r="A42" s="329"/>
      <c r="B42" s="332"/>
      <c r="C42" s="143" t="s">
        <v>11</v>
      </c>
      <c r="D42" s="142">
        <f>WHOLESALE!N42</f>
        <v>0.3311</v>
      </c>
      <c r="E42" s="153">
        <f>ROUND(-INPUT!$B$75*D42,4)</f>
        <v>-0.0447</v>
      </c>
      <c r="F42" s="153">
        <f t="shared" si="9"/>
        <v>0.2864</v>
      </c>
      <c r="G42" s="153">
        <f>INPUT!E$106</f>
        <v>0</v>
      </c>
      <c r="H42" s="153">
        <f>ROUND((G42+E42+D42)/(1-INPUT!$B$79)-(G42+E42+D42),4)</f>
        <v>0.0079</v>
      </c>
      <c r="I42" s="213">
        <f t="shared" si="10"/>
        <v>0.3361</v>
      </c>
      <c r="J42" s="238"/>
      <c r="K42" s="154">
        <f t="shared" si="11"/>
        <v>0.3361</v>
      </c>
    </row>
    <row r="43" spans="1:11" ht="13.5" thickBot="1">
      <c r="A43" s="329"/>
      <c r="B43" s="332"/>
      <c r="C43" s="143" t="s">
        <v>212</v>
      </c>
      <c r="D43" s="142">
        <f>WHOLESALE!N43</f>
        <v>0.2643</v>
      </c>
      <c r="E43" s="153">
        <f>ROUND(-INPUT!$B$75*D43,4)</f>
        <v>-0.0357</v>
      </c>
      <c r="F43" s="153">
        <f t="shared" si="9"/>
        <v>0.22859999999999997</v>
      </c>
      <c r="G43" s="153">
        <f>INPUT!E$107</f>
        <v>0</v>
      </c>
      <c r="H43" s="153">
        <f>ROUND((G43+E43+D43)/(1-INPUT!$B$79)-(G43+E43+D43),4)</f>
        <v>0.0063</v>
      </c>
      <c r="I43" s="213">
        <f t="shared" si="10"/>
        <v>0.2693</v>
      </c>
      <c r="J43" s="238"/>
      <c r="K43" s="154"/>
    </row>
    <row r="44" spans="1:11" ht="13.5" thickBot="1">
      <c r="A44" s="329"/>
      <c r="B44" s="332"/>
      <c r="C44" s="143" t="s">
        <v>42</v>
      </c>
      <c r="D44" s="142">
        <f>WHOLESALE!N44</f>
        <v>0.2545</v>
      </c>
      <c r="E44" s="153">
        <f>ROUND(-INPUT!$B$75*D44,4)</f>
        <v>-0.0344</v>
      </c>
      <c r="F44" s="153">
        <f t="shared" si="9"/>
        <v>0.22010000000000002</v>
      </c>
      <c r="G44" s="153">
        <f>INPUT!E$108</f>
        <v>0</v>
      </c>
      <c r="H44" s="153">
        <f>ROUND((G44+E44+D44)/(1-INPUT!$B$79)-(G44+E44+D44),4)</f>
        <v>0.0061</v>
      </c>
      <c r="I44" s="213">
        <f t="shared" si="10"/>
        <v>0.2595</v>
      </c>
      <c r="J44" s="238"/>
      <c r="K44" s="154">
        <f t="shared" si="11"/>
        <v>0.2595</v>
      </c>
    </row>
    <row r="45" spans="1:11" ht="13.5" thickBot="1">
      <c r="A45" s="329"/>
      <c r="B45" s="332"/>
      <c r="C45" s="143" t="s">
        <v>43</v>
      </c>
      <c r="D45" s="142">
        <f>WHOLESALE!N45</f>
        <v>0.1583</v>
      </c>
      <c r="E45" s="153">
        <f>ROUND(-INPUT!$B$75*D45,4)</f>
        <v>-0.0214</v>
      </c>
      <c r="F45" s="153">
        <f t="shared" si="9"/>
        <v>0.1369</v>
      </c>
      <c r="G45" s="153">
        <f>INPUT!E$109</f>
        <v>0</v>
      </c>
      <c r="H45" s="153">
        <f>ROUND((G45+E45+D45)/(1-INPUT!$B$79)-(G45+E45+D45),4)</f>
        <v>0.0038</v>
      </c>
      <c r="I45" s="213">
        <f t="shared" si="10"/>
        <v>0.1633</v>
      </c>
      <c r="J45" s="238"/>
      <c r="K45" s="154">
        <f t="shared" si="11"/>
        <v>0.1633</v>
      </c>
    </row>
    <row r="46" spans="1:11" ht="13.5" thickBot="1">
      <c r="A46" s="329"/>
      <c r="B46" s="332"/>
      <c r="C46" s="143" t="s">
        <v>44</v>
      </c>
      <c r="D46" s="142">
        <f>WHOLESALE!N46</f>
        <v>0.1493</v>
      </c>
      <c r="E46" s="153">
        <f>ROUND(-INPUT!$B$75*D46,4)</f>
        <v>-0.0202</v>
      </c>
      <c r="F46" s="153">
        <f t="shared" si="9"/>
        <v>0.1291</v>
      </c>
      <c r="G46" s="153">
        <f>INPUT!E$110</f>
        <v>0</v>
      </c>
      <c r="H46" s="153">
        <f>ROUND((G46+E46+D46)/(1-INPUT!$B$79)-(G46+E46+D46),4)</f>
        <v>0.0036</v>
      </c>
      <c r="I46" s="213">
        <f t="shared" si="10"/>
        <v>0.1543</v>
      </c>
      <c r="J46" s="238"/>
      <c r="K46" s="154">
        <f t="shared" si="11"/>
        <v>0.1543</v>
      </c>
    </row>
    <row r="47" spans="1:11" ht="13.5" thickBot="1">
      <c r="A47" s="330"/>
      <c r="B47" s="333"/>
      <c r="C47" s="143" t="s">
        <v>64</v>
      </c>
      <c r="D47" s="145">
        <f>WHOLESALE!N47</f>
        <v>0.7861</v>
      </c>
      <c r="E47" s="156">
        <f>ROUND(-INPUT!$B$75*D47,4)</f>
        <v>-0.1061</v>
      </c>
      <c r="F47" s="156">
        <f t="shared" si="9"/>
        <v>0.68</v>
      </c>
      <c r="G47" s="156">
        <f>INPUT!E$111</f>
        <v>0</v>
      </c>
      <c r="H47" s="156">
        <f>ROUND((G47+E47+D47)/(1-INPUT!$B$79)-(G47+E47+D47),4)</f>
        <v>0.0189</v>
      </c>
      <c r="I47" s="215">
        <f t="shared" si="10"/>
        <v>0.7911</v>
      </c>
      <c r="J47" s="240"/>
      <c r="K47" s="157">
        <f t="shared" si="11"/>
        <v>0.7911</v>
      </c>
    </row>
    <row r="48" spans="3:10" ht="14.25" thickBot="1" thickTop="1">
      <c r="C48" s="125"/>
      <c r="D48" s="9"/>
      <c r="E48" s="138"/>
      <c r="F48" s="138"/>
      <c r="G48" s="138"/>
      <c r="H48" s="138"/>
      <c r="I48" s="138"/>
      <c r="J48" s="138"/>
    </row>
    <row r="49" spans="1:11" ht="14.25" thickBot="1" thickTop="1">
      <c r="A49" s="334" t="s">
        <v>193</v>
      </c>
      <c r="B49" s="331" t="s">
        <v>15</v>
      </c>
      <c r="C49" s="143" t="s">
        <v>9</v>
      </c>
      <c r="D49" s="144">
        <f>WHOLESALE!N49</f>
        <v>2.0111</v>
      </c>
      <c r="E49" s="151">
        <f>ROUND(-INPUT!$B$75*D49,4)</f>
        <v>-0.2715</v>
      </c>
      <c r="F49" s="151">
        <f aca="true" t="shared" si="12" ref="F49:F57">$D49+E49</f>
        <v>1.7395999999999998</v>
      </c>
      <c r="G49" s="151">
        <f>INPUT!E$103</f>
        <v>0</v>
      </c>
      <c r="H49" s="151">
        <f>ROUND((G49+E49+D49)/(1-INPUT!$B$79)-(G49+E49+D49),4)</f>
        <v>0.0483</v>
      </c>
      <c r="I49" s="212">
        <f aca="true" t="shared" si="13" ref="I49:I57">IF(ROUND(F49+G49+H49,2)&gt;D49,ROUND(F49+G49+H49,2),0.005+D49)</f>
        <v>2.0161</v>
      </c>
      <c r="J49" s="237"/>
      <c r="K49" s="152">
        <f>I49-J49</f>
        <v>2.0161</v>
      </c>
    </row>
    <row r="50" spans="1:11" ht="13.5" thickBot="1">
      <c r="A50" s="329"/>
      <c r="B50" s="332"/>
      <c r="C50" s="143" t="s">
        <v>41</v>
      </c>
      <c r="D50" s="142">
        <f>WHOLESALE!N50</f>
        <v>1.028</v>
      </c>
      <c r="E50" s="153">
        <f>ROUND(-INPUT!$B$75*D50,4)</f>
        <v>-0.1388</v>
      </c>
      <c r="F50" s="153">
        <f t="shared" si="12"/>
        <v>0.8892</v>
      </c>
      <c r="G50" s="153">
        <f>INPUT!E$104</f>
        <v>0</v>
      </c>
      <c r="H50" s="153">
        <f>ROUND((G50+E50+D50)/(1-INPUT!$B$79)-(G50+E50+D50),4)</f>
        <v>0.0247</v>
      </c>
      <c r="I50" s="213">
        <f t="shared" si="13"/>
        <v>1.033</v>
      </c>
      <c r="J50" s="238"/>
      <c r="K50" s="154">
        <f aca="true" t="shared" si="14" ref="K50:K57">I50-J50</f>
        <v>1.033</v>
      </c>
    </row>
    <row r="51" spans="1:11" ht="13.5" thickBot="1">
      <c r="A51" s="329"/>
      <c r="B51" s="332"/>
      <c r="C51" s="143" t="s">
        <v>10</v>
      </c>
      <c r="D51" s="142">
        <f>WHOLESALE!N51</f>
        <v>0.5788</v>
      </c>
      <c r="E51" s="153">
        <f>ROUND(-INPUT!$B$75*D51,4)</f>
        <v>-0.0781</v>
      </c>
      <c r="F51" s="153">
        <f t="shared" si="12"/>
        <v>0.5006999999999999</v>
      </c>
      <c r="G51" s="155">
        <f>INPUT!E$105</f>
        <v>0</v>
      </c>
      <c r="H51" s="155">
        <f>ROUND((G51+E51+D51)/(1-INPUT!$B$79)-(G51+E51+D51),4)</f>
        <v>0.0139</v>
      </c>
      <c r="I51" s="214">
        <f t="shared" si="13"/>
        <v>0.5838</v>
      </c>
      <c r="J51" s="239"/>
      <c r="K51" s="154">
        <f t="shared" si="14"/>
        <v>0.5838</v>
      </c>
    </row>
    <row r="52" spans="1:11" ht="13.5" thickBot="1">
      <c r="A52" s="329"/>
      <c r="B52" s="332"/>
      <c r="C52" s="143" t="s">
        <v>11</v>
      </c>
      <c r="D52" s="142">
        <f>WHOLESALE!N52</f>
        <v>0.3309</v>
      </c>
      <c r="E52" s="153">
        <f>ROUND(-INPUT!$B$75*D52,4)</f>
        <v>-0.0447</v>
      </c>
      <c r="F52" s="153">
        <f t="shared" si="12"/>
        <v>0.2862</v>
      </c>
      <c r="G52" s="153">
        <f>INPUT!E$106</f>
        <v>0</v>
      </c>
      <c r="H52" s="153">
        <f>ROUND((G52+E52+D52)/(1-INPUT!$B$79)-(G52+E52+D52),4)</f>
        <v>0.0079</v>
      </c>
      <c r="I52" s="213">
        <f t="shared" si="13"/>
        <v>0.33590000000000003</v>
      </c>
      <c r="J52" s="238"/>
      <c r="K52" s="154">
        <f t="shared" si="14"/>
        <v>0.33590000000000003</v>
      </c>
    </row>
    <row r="53" spans="1:11" ht="13.5" thickBot="1">
      <c r="A53" s="329"/>
      <c r="B53" s="332"/>
      <c r="C53" s="143" t="s">
        <v>212</v>
      </c>
      <c r="D53" s="142">
        <f>WHOLESALE!N53</f>
        <v>0.2642</v>
      </c>
      <c r="E53" s="153">
        <f>ROUND(-INPUT!$B$75*D53,4)</f>
        <v>-0.0357</v>
      </c>
      <c r="F53" s="153">
        <f t="shared" si="12"/>
        <v>0.22849999999999998</v>
      </c>
      <c r="G53" s="153">
        <f>INPUT!E$107</f>
        <v>0</v>
      </c>
      <c r="H53" s="153">
        <f>ROUND((G53+E53+D53)/(1-INPUT!$B$79)-(G53+E53+D53),4)</f>
        <v>0.0063</v>
      </c>
      <c r="I53" s="213">
        <f t="shared" si="13"/>
        <v>0.2692</v>
      </c>
      <c r="J53" s="238"/>
      <c r="K53" s="154"/>
    </row>
    <row r="54" spans="1:11" ht="13.5" thickBot="1">
      <c r="A54" s="329"/>
      <c r="B54" s="332"/>
      <c r="C54" s="143" t="s">
        <v>42</v>
      </c>
      <c r="D54" s="142">
        <f>WHOLESALE!N54</f>
        <v>0.2544</v>
      </c>
      <c r="E54" s="153">
        <f>ROUND(-INPUT!$B$75*D54,4)</f>
        <v>-0.0343</v>
      </c>
      <c r="F54" s="153">
        <f t="shared" si="12"/>
        <v>0.22010000000000002</v>
      </c>
      <c r="G54" s="153">
        <f>INPUT!E$108</f>
        <v>0</v>
      </c>
      <c r="H54" s="153">
        <f>ROUND((G54+E54+D54)/(1-INPUT!$B$79)-(G54+E54+D54),4)</f>
        <v>0.0061</v>
      </c>
      <c r="I54" s="213">
        <f t="shared" si="13"/>
        <v>0.2594</v>
      </c>
      <c r="J54" s="238"/>
      <c r="K54" s="154">
        <f t="shared" si="14"/>
        <v>0.2594</v>
      </c>
    </row>
    <row r="55" spans="1:11" ht="13.5" thickBot="1">
      <c r="A55" s="329"/>
      <c r="B55" s="332"/>
      <c r="C55" s="143" t="s">
        <v>43</v>
      </c>
      <c r="D55" s="142">
        <f>WHOLESALE!N55</f>
        <v>0.1582</v>
      </c>
      <c r="E55" s="153">
        <f>ROUND(-INPUT!$B$75*D55,4)</f>
        <v>-0.0214</v>
      </c>
      <c r="F55" s="153">
        <f t="shared" si="12"/>
        <v>0.1368</v>
      </c>
      <c r="G55" s="153">
        <f>INPUT!E$109</f>
        <v>0</v>
      </c>
      <c r="H55" s="153">
        <f>ROUND((G55+E55+D55)/(1-INPUT!$B$79)-(G55+E55+D55),4)</f>
        <v>0.0038</v>
      </c>
      <c r="I55" s="213">
        <f t="shared" si="13"/>
        <v>0.1632</v>
      </c>
      <c r="J55" s="238"/>
      <c r="K55" s="154">
        <f t="shared" si="14"/>
        <v>0.1632</v>
      </c>
    </row>
    <row r="56" spans="1:11" ht="13.5" thickBot="1">
      <c r="A56" s="329"/>
      <c r="B56" s="332"/>
      <c r="C56" s="143" t="s">
        <v>44</v>
      </c>
      <c r="D56" s="142">
        <f>WHOLESALE!N56</f>
        <v>0.1492</v>
      </c>
      <c r="E56" s="153">
        <f>ROUND(-INPUT!$B$75*D56,4)</f>
        <v>-0.0201</v>
      </c>
      <c r="F56" s="153">
        <f t="shared" si="12"/>
        <v>0.1291</v>
      </c>
      <c r="G56" s="153">
        <f>INPUT!E$110</f>
        <v>0</v>
      </c>
      <c r="H56" s="153">
        <f>ROUND((G56+E56+D56)/(1-INPUT!$B$79)-(G56+E56+D56),4)</f>
        <v>0.0036</v>
      </c>
      <c r="I56" s="213">
        <f t="shared" si="13"/>
        <v>0.1542</v>
      </c>
      <c r="J56" s="238"/>
      <c r="K56" s="154">
        <f t="shared" si="14"/>
        <v>0.1542</v>
      </c>
    </row>
    <row r="57" spans="1:11" ht="13.5" thickBot="1">
      <c r="A57" s="330"/>
      <c r="B57" s="333"/>
      <c r="C57" s="143" t="s">
        <v>64</v>
      </c>
      <c r="D57" s="145">
        <f>WHOLESALE!N57</f>
        <v>0.7856</v>
      </c>
      <c r="E57" s="156">
        <f>ROUND(-INPUT!$B$75*D57,4)</f>
        <v>-0.1061</v>
      </c>
      <c r="F57" s="156">
        <f t="shared" si="12"/>
        <v>0.6795</v>
      </c>
      <c r="G57" s="156">
        <f>INPUT!E$111</f>
        <v>0</v>
      </c>
      <c r="H57" s="156">
        <f>ROUND((G57+E57+D57)/(1-INPUT!$B$79)-(G57+E57+D57),4)</f>
        <v>0.0189</v>
      </c>
      <c r="I57" s="215">
        <f t="shared" si="13"/>
        <v>0.7906</v>
      </c>
      <c r="J57" s="240"/>
      <c r="K57" s="157">
        <f t="shared" si="14"/>
        <v>0.7906</v>
      </c>
    </row>
    <row r="58" spans="3:10" ht="14.25" thickBot="1" thickTop="1">
      <c r="C58" s="125"/>
      <c r="D58" s="9"/>
      <c r="E58" s="138"/>
      <c r="F58" s="138"/>
      <c r="G58" s="138"/>
      <c r="H58" s="138"/>
      <c r="I58" s="138"/>
      <c r="J58" s="138"/>
    </row>
    <row r="59" spans="1:11" ht="14.25" thickBot="1" thickTop="1">
      <c r="A59" s="334" t="s">
        <v>198</v>
      </c>
      <c r="B59" s="331" t="s">
        <v>15</v>
      </c>
      <c r="C59" s="143" t="s">
        <v>9</v>
      </c>
      <c r="D59" s="144">
        <f>WHOLESALE!N59</f>
        <v>2.0111</v>
      </c>
      <c r="E59" s="151">
        <f>ROUND(-INPUT!$B$75*D59,4)</f>
        <v>-0.2715</v>
      </c>
      <c r="F59" s="151">
        <f aca="true" t="shared" si="15" ref="F59:F67">$D59+E59</f>
        <v>1.7395999999999998</v>
      </c>
      <c r="G59" s="151">
        <f>INPUT!E$103</f>
        <v>0</v>
      </c>
      <c r="H59" s="151">
        <f>ROUND((G59+E59+D59)/(1-INPUT!$B$79)-(G59+E59+D59),4)</f>
        <v>0.0483</v>
      </c>
      <c r="I59" s="212">
        <f aca="true" t="shared" si="16" ref="I59:I67">IF(ROUND(F59+G59+H59,2)&gt;D59,ROUND(F59+G59+H59,2),0.005+D59)</f>
        <v>2.0161</v>
      </c>
      <c r="J59" s="237"/>
      <c r="K59" s="152">
        <f>I59-J59</f>
        <v>2.0161</v>
      </c>
    </row>
    <row r="60" spans="1:11" ht="13.5" thickBot="1">
      <c r="A60" s="329"/>
      <c r="B60" s="332"/>
      <c r="C60" s="143" t="s">
        <v>41</v>
      </c>
      <c r="D60" s="142">
        <f>WHOLESALE!N60</f>
        <v>1.028</v>
      </c>
      <c r="E60" s="153">
        <f>ROUND(-INPUT!$B$75*D60,4)</f>
        <v>-0.1388</v>
      </c>
      <c r="F60" s="153">
        <f t="shared" si="15"/>
        <v>0.8892</v>
      </c>
      <c r="G60" s="153">
        <f>INPUT!E$104</f>
        <v>0</v>
      </c>
      <c r="H60" s="153">
        <f>ROUND((G60+E60+D60)/(1-INPUT!$B$79)-(G60+E60+D60),4)</f>
        <v>0.0247</v>
      </c>
      <c r="I60" s="213">
        <f t="shared" si="16"/>
        <v>1.033</v>
      </c>
      <c r="J60" s="238"/>
      <c r="K60" s="154">
        <f aca="true" t="shared" si="17" ref="K60:K67">I60-J60</f>
        <v>1.033</v>
      </c>
    </row>
    <row r="61" spans="1:11" ht="13.5" thickBot="1">
      <c r="A61" s="329"/>
      <c r="B61" s="332"/>
      <c r="C61" s="143" t="s">
        <v>10</v>
      </c>
      <c r="D61" s="142">
        <f>WHOLESALE!N61</f>
        <v>0.5788</v>
      </c>
      <c r="E61" s="153">
        <f>ROUND(-INPUT!$B$75*D61,4)</f>
        <v>-0.0781</v>
      </c>
      <c r="F61" s="153">
        <f t="shared" si="15"/>
        <v>0.5006999999999999</v>
      </c>
      <c r="G61" s="155">
        <f>INPUT!E$105</f>
        <v>0</v>
      </c>
      <c r="H61" s="155">
        <f>ROUND((G61+E61+D61)/(1-INPUT!$B$79)-(G61+E61+D61),4)</f>
        <v>0.0139</v>
      </c>
      <c r="I61" s="214">
        <f t="shared" si="16"/>
        <v>0.5838</v>
      </c>
      <c r="J61" s="239"/>
      <c r="K61" s="154">
        <f t="shared" si="17"/>
        <v>0.5838</v>
      </c>
    </row>
    <row r="62" spans="1:11" ht="13.5" thickBot="1">
      <c r="A62" s="329"/>
      <c r="B62" s="332"/>
      <c r="C62" s="143" t="s">
        <v>11</v>
      </c>
      <c r="D62" s="142">
        <f>WHOLESALE!N62</f>
        <v>0.3309</v>
      </c>
      <c r="E62" s="153">
        <f>ROUND(-INPUT!$B$75*D62,4)</f>
        <v>-0.0447</v>
      </c>
      <c r="F62" s="153">
        <f t="shared" si="15"/>
        <v>0.2862</v>
      </c>
      <c r="G62" s="153">
        <f>INPUT!E$106</f>
        <v>0</v>
      </c>
      <c r="H62" s="153">
        <f>ROUND((G62+E62+D62)/(1-INPUT!$B$79)-(G62+E62+D62),4)</f>
        <v>0.0079</v>
      </c>
      <c r="I62" s="213">
        <f t="shared" si="16"/>
        <v>0.33590000000000003</v>
      </c>
      <c r="J62" s="238"/>
      <c r="K62" s="154">
        <f t="shared" si="17"/>
        <v>0.33590000000000003</v>
      </c>
    </row>
    <row r="63" spans="1:11" ht="13.5" thickBot="1">
      <c r="A63" s="329"/>
      <c r="B63" s="332"/>
      <c r="C63" s="143" t="s">
        <v>212</v>
      </c>
      <c r="D63" s="142">
        <f>WHOLESALE!N63</f>
        <v>0.2642</v>
      </c>
      <c r="E63" s="153">
        <f>ROUND(-INPUT!$B$75*D63,4)</f>
        <v>-0.0357</v>
      </c>
      <c r="F63" s="153">
        <f t="shared" si="15"/>
        <v>0.22849999999999998</v>
      </c>
      <c r="G63" s="153">
        <f>INPUT!E$107</f>
        <v>0</v>
      </c>
      <c r="H63" s="153">
        <f>ROUND((G63+E63+D63)/(1-INPUT!$B$79)-(G63+E63+D63),4)</f>
        <v>0.0063</v>
      </c>
      <c r="I63" s="213">
        <f t="shared" si="16"/>
        <v>0.2692</v>
      </c>
      <c r="J63" s="238"/>
      <c r="K63" s="154"/>
    </row>
    <row r="64" spans="1:11" ht="13.5" thickBot="1">
      <c r="A64" s="329"/>
      <c r="B64" s="332"/>
      <c r="C64" s="143" t="s">
        <v>42</v>
      </c>
      <c r="D64" s="142">
        <f>WHOLESALE!N64</f>
        <v>0.2544</v>
      </c>
      <c r="E64" s="153">
        <f>ROUND(-INPUT!$B$75*D64,4)</f>
        <v>-0.0343</v>
      </c>
      <c r="F64" s="153">
        <f t="shared" si="15"/>
        <v>0.22010000000000002</v>
      </c>
      <c r="G64" s="153">
        <f>INPUT!E$108</f>
        <v>0</v>
      </c>
      <c r="H64" s="153">
        <f>ROUND((G64+E64+D64)/(1-INPUT!$B$79)-(G64+E64+D64),4)</f>
        <v>0.0061</v>
      </c>
      <c r="I64" s="213">
        <f t="shared" si="16"/>
        <v>0.2594</v>
      </c>
      <c r="J64" s="238"/>
      <c r="K64" s="154">
        <f t="shared" si="17"/>
        <v>0.2594</v>
      </c>
    </row>
    <row r="65" spans="1:11" ht="13.5" thickBot="1">
      <c r="A65" s="329"/>
      <c r="B65" s="332"/>
      <c r="C65" s="143" t="s">
        <v>43</v>
      </c>
      <c r="D65" s="142">
        <f>WHOLESALE!N65</f>
        <v>0.1582</v>
      </c>
      <c r="E65" s="153">
        <f>ROUND(-INPUT!$B$75*D65,4)</f>
        <v>-0.0214</v>
      </c>
      <c r="F65" s="153">
        <f t="shared" si="15"/>
        <v>0.1368</v>
      </c>
      <c r="G65" s="153">
        <f>INPUT!E$109</f>
        <v>0</v>
      </c>
      <c r="H65" s="153">
        <f>ROUND((G65+E65+D65)/(1-INPUT!$B$79)-(G65+E65+D65),4)</f>
        <v>0.0038</v>
      </c>
      <c r="I65" s="213">
        <f t="shared" si="16"/>
        <v>0.1632</v>
      </c>
      <c r="J65" s="238"/>
      <c r="K65" s="154">
        <f t="shared" si="17"/>
        <v>0.1632</v>
      </c>
    </row>
    <row r="66" spans="1:11" ht="13.5" thickBot="1">
      <c r="A66" s="329"/>
      <c r="B66" s="332"/>
      <c r="C66" s="143" t="s">
        <v>44</v>
      </c>
      <c r="D66" s="142">
        <f>WHOLESALE!N66</f>
        <v>0.1492</v>
      </c>
      <c r="E66" s="153">
        <f>ROUND(-INPUT!$B$75*D66,4)</f>
        <v>-0.0201</v>
      </c>
      <c r="F66" s="153">
        <f t="shared" si="15"/>
        <v>0.1291</v>
      </c>
      <c r="G66" s="153">
        <f>INPUT!E$110</f>
        <v>0</v>
      </c>
      <c r="H66" s="153">
        <f>ROUND((G66+E66+D66)/(1-INPUT!$B$79)-(G66+E66+D66),4)</f>
        <v>0.0036</v>
      </c>
      <c r="I66" s="213">
        <f t="shared" si="16"/>
        <v>0.1542</v>
      </c>
      <c r="J66" s="238"/>
      <c r="K66" s="154">
        <f t="shared" si="17"/>
        <v>0.1542</v>
      </c>
    </row>
    <row r="67" spans="1:11" ht="13.5" thickBot="1">
      <c r="A67" s="330"/>
      <c r="B67" s="333"/>
      <c r="C67" s="143" t="s">
        <v>64</v>
      </c>
      <c r="D67" s="145">
        <f>WHOLESALE!N67</f>
        <v>0.7856</v>
      </c>
      <c r="E67" s="156">
        <f>ROUND(-INPUT!$B$75*D67,4)</f>
        <v>-0.1061</v>
      </c>
      <c r="F67" s="156">
        <f t="shared" si="15"/>
        <v>0.6795</v>
      </c>
      <c r="G67" s="156">
        <f>INPUT!E$111</f>
        <v>0</v>
      </c>
      <c r="H67" s="156">
        <f>ROUND((G67+E67+D67)/(1-INPUT!$B$79)-(G67+E67+D67),4)</f>
        <v>0.0189</v>
      </c>
      <c r="I67" s="215">
        <f t="shared" si="16"/>
        <v>0.7906</v>
      </c>
      <c r="J67" s="240"/>
      <c r="K67" s="157">
        <f t="shared" si="17"/>
        <v>0.7906</v>
      </c>
    </row>
    <row r="68" spans="1:11" ht="14.25" thickBot="1" thickTop="1">
      <c r="A68" s="231"/>
      <c r="B68" s="307"/>
      <c r="C68" s="113"/>
      <c r="D68" s="308"/>
      <c r="E68" s="309"/>
      <c r="F68" s="309"/>
      <c r="G68" s="309"/>
      <c r="H68" s="309"/>
      <c r="I68" s="310"/>
      <c r="J68" s="311"/>
      <c r="K68" s="310"/>
    </row>
    <row r="69" spans="1:11" ht="14.25" thickBot="1" thickTop="1">
      <c r="A69" s="328" t="s">
        <v>225</v>
      </c>
      <c r="B69" s="331" t="s">
        <v>15</v>
      </c>
      <c r="C69" s="143" t="s">
        <v>9</v>
      </c>
      <c r="D69" s="144">
        <f>WHOLESALE!N69</f>
        <v>2.0111</v>
      </c>
      <c r="E69" s="151">
        <f>ROUND(-INPUT!$B$75*D69,4)</f>
        <v>-0.2715</v>
      </c>
      <c r="F69" s="151">
        <f aca="true" t="shared" si="18" ref="F69:F77">$D69+E69</f>
        <v>1.7395999999999998</v>
      </c>
      <c r="G69" s="151">
        <f>INPUT!E$103</f>
        <v>0</v>
      </c>
      <c r="H69" s="151">
        <f>ROUND((G69+E69+D69)/(1-INPUT!$B$79)-(G69+E69+D69),4)</f>
        <v>0.0483</v>
      </c>
      <c r="I69" s="212">
        <f aca="true" t="shared" si="19" ref="I69:I77">IF(ROUND(F69+G69+H69,2)&gt;D69,ROUND(F69+G69+H69,2),0.005+D69)</f>
        <v>2.0161</v>
      </c>
      <c r="J69" s="237"/>
      <c r="K69" s="152">
        <f>I69-J69</f>
        <v>2.0161</v>
      </c>
    </row>
    <row r="70" spans="1:11" ht="13.5" thickBot="1">
      <c r="A70" s="329"/>
      <c r="B70" s="332"/>
      <c r="C70" s="143" t="s">
        <v>41</v>
      </c>
      <c r="D70" s="142">
        <f>WHOLESALE!N70</f>
        <v>1.028</v>
      </c>
      <c r="E70" s="153">
        <f>ROUND(-INPUT!$B$75*D70,4)</f>
        <v>-0.1388</v>
      </c>
      <c r="F70" s="153">
        <f t="shared" si="18"/>
        <v>0.8892</v>
      </c>
      <c r="G70" s="153">
        <f>INPUT!E$104</f>
        <v>0</v>
      </c>
      <c r="H70" s="153">
        <f>ROUND((G70+E70+D70)/(1-INPUT!$B$79)-(G70+E70+D70),4)</f>
        <v>0.0247</v>
      </c>
      <c r="I70" s="213">
        <f t="shared" si="19"/>
        <v>1.033</v>
      </c>
      <c r="J70" s="238"/>
      <c r="K70" s="154">
        <f>I70-J70</f>
        <v>1.033</v>
      </c>
    </row>
    <row r="71" spans="1:11" ht="13.5" thickBot="1">
      <c r="A71" s="329"/>
      <c r="B71" s="332"/>
      <c r="C71" s="143" t="s">
        <v>10</v>
      </c>
      <c r="D71" s="142">
        <f>WHOLESALE!N71</f>
        <v>0.5788</v>
      </c>
      <c r="E71" s="153">
        <f>ROUND(-INPUT!$B$75*D71,4)</f>
        <v>-0.0781</v>
      </c>
      <c r="F71" s="153">
        <f t="shared" si="18"/>
        <v>0.5006999999999999</v>
      </c>
      <c r="G71" s="155">
        <f>INPUT!E$105</f>
        <v>0</v>
      </c>
      <c r="H71" s="155">
        <f>ROUND((G71+E71+D71)/(1-INPUT!$B$79)-(G71+E71+D71),4)</f>
        <v>0.0139</v>
      </c>
      <c r="I71" s="214">
        <f t="shared" si="19"/>
        <v>0.5838</v>
      </c>
      <c r="J71" s="239"/>
      <c r="K71" s="154">
        <f>I71-J71</f>
        <v>0.5838</v>
      </c>
    </row>
    <row r="72" spans="1:11" ht="13.5" thickBot="1">
      <c r="A72" s="329"/>
      <c r="B72" s="332"/>
      <c r="C72" s="143" t="s">
        <v>11</v>
      </c>
      <c r="D72" s="142">
        <f>WHOLESALE!N72</f>
        <v>0.3309</v>
      </c>
      <c r="E72" s="153">
        <f>ROUND(-INPUT!$B$75*D72,4)</f>
        <v>-0.0447</v>
      </c>
      <c r="F72" s="153">
        <f t="shared" si="18"/>
        <v>0.2862</v>
      </c>
      <c r="G72" s="153">
        <f>INPUT!E$106</f>
        <v>0</v>
      </c>
      <c r="H72" s="153">
        <f>ROUND((G72+E72+D72)/(1-INPUT!$B$79)-(G72+E72+D72),4)</f>
        <v>0.0079</v>
      </c>
      <c r="I72" s="213">
        <f t="shared" si="19"/>
        <v>0.33590000000000003</v>
      </c>
      <c r="J72" s="238"/>
      <c r="K72" s="154">
        <f>I72-J72</f>
        <v>0.33590000000000003</v>
      </c>
    </row>
    <row r="73" spans="1:11" ht="13.5" thickBot="1">
      <c r="A73" s="329"/>
      <c r="B73" s="332"/>
      <c r="C73" s="143" t="s">
        <v>212</v>
      </c>
      <c r="D73" s="142">
        <f>WHOLESALE!N73</f>
        <v>0.2642</v>
      </c>
      <c r="E73" s="153">
        <f>ROUND(-INPUT!$B$75*D73,4)</f>
        <v>-0.0357</v>
      </c>
      <c r="F73" s="153">
        <f t="shared" si="18"/>
        <v>0.22849999999999998</v>
      </c>
      <c r="G73" s="153">
        <f>INPUT!E$107</f>
        <v>0</v>
      </c>
      <c r="H73" s="153">
        <f>ROUND((G73+E73+D73)/(1-INPUT!$B$79)-(G73+E73+D73),4)</f>
        <v>0.0063</v>
      </c>
      <c r="I73" s="213">
        <f t="shared" si="19"/>
        <v>0.2692</v>
      </c>
      <c r="J73" s="238"/>
      <c r="K73" s="154"/>
    </row>
    <row r="74" spans="1:11" ht="13.5" thickBot="1">
      <c r="A74" s="329"/>
      <c r="B74" s="332"/>
      <c r="C74" s="143" t="s">
        <v>42</v>
      </c>
      <c r="D74" s="142">
        <f>WHOLESALE!N74</f>
        <v>0.2544</v>
      </c>
      <c r="E74" s="153">
        <f>ROUND(-INPUT!$B$75*D74,4)</f>
        <v>-0.0343</v>
      </c>
      <c r="F74" s="153">
        <f t="shared" si="18"/>
        <v>0.22010000000000002</v>
      </c>
      <c r="G74" s="153">
        <f>INPUT!E$108</f>
        <v>0</v>
      </c>
      <c r="H74" s="153">
        <f>ROUND((G74+E74+D74)/(1-INPUT!$B$79)-(G74+E74+D74),4)</f>
        <v>0.0061</v>
      </c>
      <c r="I74" s="213">
        <f t="shared" si="19"/>
        <v>0.2594</v>
      </c>
      <c r="J74" s="238"/>
      <c r="K74" s="154">
        <f>I74-J74</f>
        <v>0.2594</v>
      </c>
    </row>
    <row r="75" spans="1:11" ht="13.5" thickBot="1">
      <c r="A75" s="329"/>
      <c r="B75" s="332"/>
      <c r="C75" s="143" t="s">
        <v>43</v>
      </c>
      <c r="D75" s="142">
        <f>WHOLESALE!N75</f>
        <v>0.1582</v>
      </c>
      <c r="E75" s="153">
        <f>ROUND(-INPUT!$B$75*D75,4)</f>
        <v>-0.0214</v>
      </c>
      <c r="F75" s="153">
        <f t="shared" si="18"/>
        <v>0.1368</v>
      </c>
      <c r="G75" s="153">
        <f>INPUT!E$109</f>
        <v>0</v>
      </c>
      <c r="H75" s="153">
        <f>ROUND((G75+E75+D75)/(1-INPUT!$B$79)-(G75+E75+D75),4)</f>
        <v>0.0038</v>
      </c>
      <c r="I75" s="213">
        <f t="shared" si="19"/>
        <v>0.1632</v>
      </c>
      <c r="J75" s="238"/>
      <c r="K75" s="154">
        <f>I75-J75</f>
        <v>0.1632</v>
      </c>
    </row>
    <row r="76" spans="1:11" ht="13.5" thickBot="1">
      <c r="A76" s="329"/>
      <c r="B76" s="332"/>
      <c r="C76" s="143" t="s">
        <v>44</v>
      </c>
      <c r="D76" s="142">
        <f>WHOLESALE!N76</f>
        <v>0.1492</v>
      </c>
      <c r="E76" s="153">
        <f>ROUND(-INPUT!$B$75*D76,4)</f>
        <v>-0.0201</v>
      </c>
      <c r="F76" s="153">
        <f t="shared" si="18"/>
        <v>0.1291</v>
      </c>
      <c r="G76" s="153">
        <f>INPUT!E$110</f>
        <v>0</v>
      </c>
      <c r="H76" s="153">
        <f>ROUND((G76+E76+D76)/(1-INPUT!$B$79)-(G76+E76+D76),4)</f>
        <v>0.0036</v>
      </c>
      <c r="I76" s="213">
        <f t="shared" si="19"/>
        <v>0.1542</v>
      </c>
      <c r="J76" s="238"/>
      <c r="K76" s="154">
        <f>I76-J76</f>
        <v>0.1542</v>
      </c>
    </row>
    <row r="77" spans="1:11" ht="13.5" thickBot="1">
      <c r="A77" s="330"/>
      <c r="B77" s="333"/>
      <c r="C77" s="143" t="s">
        <v>64</v>
      </c>
      <c r="D77" s="142">
        <f>WHOLESALE!N77</f>
        <v>0.7856</v>
      </c>
      <c r="E77" s="156">
        <f>ROUND(-INPUT!$B$75*D77,4)</f>
        <v>-0.1061</v>
      </c>
      <c r="F77" s="156">
        <f t="shared" si="18"/>
        <v>0.6795</v>
      </c>
      <c r="G77" s="156">
        <f>INPUT!E$111</f>
        <v>0</v>
      </c>
      <c r="H77" s="156">
        <f>ROUND((G77+E77+D77)/(1-INPUT!$B$79)-(G77+E77+D77),4)</f>
        <v>0.0189</v>
      </c>
      <c r="I77" s="215">
        <f t="shared" si="19"/>
        <v>0.7906</v>
      </c>
      <c r="J77" s="240"/>
      <c r="K77" s="157">
        <f>I77-J77</f>
        <v>0.7906</v>
      </c>
    </row>
    <row r="78" spans="3:10" ht="14.25" thickBot="1" thickTop="1">
      <c r="C78" s="125"/>
      <c r="D78" s="9"/>
      <c r="E78" s="138"/>
      <c r="F78" s="138"/>
      <c r="G78" s="138"/>
      <c r="H78" s="138"/>
      <c r="I78" s="138"/>
      <c r="J78" s="138"/>
    </row>
    <row r="79" spans="1:11" ht="14.25" thickBot="1" thickTop="1">
      <c r="A79" s="334" t="s">
        <v>16</v>
      </c>
      <c r="B79" s="338"/>
      <c r="C79" s="143" t="s">
        <v>9</v>
      </c>
      <c r="D79" s="144">
        <f>WHOLESALE!N79</f>
        <v>2.3031</v>
      </c>
      <c r="E79" s="151">
        <f>ROUND(-INPUT!$B$75*D79,4)</f>
        <v>-0.3109</v>
      </c>
      <c r="F79" s="151">
        <f aca="true" t="shared" si="20" ref="F79:F97">$D79+E79</f>
        <v>1.9922000000000002</v>
      </c>
      <c r="G79" s="151">
        <f>INPUT!E$103</f>
        <v>0</v>
      </c>
      <c r="H79" s="151">
        <f>ROUND((G79+E79+D79)/(1-INPUT!$B$79)-(G79+E79+D79),4)</f>
        <v>0.0553</v>
      </c>
      <c r="I79" s="212">
        <f aca="true" t="shared" si="21" ref="I79:I87">IF(ROUND(F79+G79+H79,2)&gt;D79,ROUND(F79+G79+H79,2),0.005+D79)</f>
        <v>2.3081</v>
      </c>
      <c r="J79" s="237"/>
      <c r="K79" s="152">
        <f>I79-J79</f>
        <v>2.3081</v>
      </c>
    </row>
    <row r="80" spans="1:11" ht="13.5" thickBot="1">
      <c r="A80" s="329"/>
      <c r="B80" s="339"/>
      <c r="C80" s="143" t="s">
        <v>41</v>
      </c>
      <c r="D80" s="142">
        <f>WHOLESALE!N80</f>
        <v>1.174</v>
      </c>
      <c r="E80" s="153">
        <f>ROUND(-INPUT!$B$75*D80,4)</f>
        <v>-0.1585</v>
      </c>
      <c r="F80" s="153">
        <f t="shared" si="20"/>
        <v>1.0154999999999998</v>
      </c>
      <c r="G80" s="153">
        <f>INPUT!E$104</f>
        <v>0</v>
      </c>
      <c r="H80" s="153">
        <f>ROUND((G80+E80+D80)/(1-INPUT!$B$79)-(G80+E80+D80),4)</f>
        <v>0.0282</v>
      </c>
      <c r="I80" s="213">
        <f t="shared" si="21"/>
        <v>1.1789999999999998</v>
      </c>
      <c r="J80" s="238"/>
      <c r="K80" s="154">
        <f aca="true" t="shared" si="22" ref="K80:K87">I80-J80</f>
        <v>1.1789999999999998</v>
      </c>
    </row>
    <row r="81" spans="1:11" ht="13.5" thickBot="1">
      <c r="A81" s="329"/>
      <c r="B81" s="339"/>
      <c r="C81" s="143" t="s">
        <v>10</v>
      </c>
      <c r="D81" s="142">
        <f>WHOLESALE!N81</f>
        <v>0.6519</v>
      </c>
      <c r="E81" s="153">
        <f>ROUND(-INPUT!$B$75*D81,4)</f>
        <v>-0.088</v>
      </c>
      <c r="F81" s="153">
        <f t="shared" si="20"/>
        <v>0.5639000000000001</v>
      </c>
      <c r="G81" s="155">
        <f>INPUT!E$105</f>
        <v>0</v>
      </c>
      <c r="H81" s="155">
        <f>ROUND((G81+E81+D81)/(1-INPUT!$B$79)-(G81+E81+D81),4)</f>
        <v>0.0156</v>
      </c>
      <c r="I81" s="214">
        <f t="shared" si="21"/>
        <v>0.6569</v>
      </c>
      <c r="J81" s="239"/>
      <c r="K81" s="154">
        <f t="shared" si="22"/>
        <v>0.6569</v>
      </c>
    </row>
    <row r="82" spans="1:11" ht="13.5" thickBot="1">
      <c r="A82" s="329"/>
      <c r="B82" s="339"/>
      <c r="C82" s="143" t="s">
        <v>11</v>
      </c>
      <c r="D82" s="142">
        <f>WHOLESALE!N82</f>
        <v>0.3673</v>
      </c>
      <c r="E82" s="153">
        <f>ROUND(-INPUT!$B$75*D82,4)</f>
        <v>-0.0496</v>
      </c>
      <c r="F82" s="153">
        <f t="shared" si="20"/>
        <v>0.31770000000000004</v>
      </c>
      <c r="G82" s="153">
        <f>INPUT!E$106</f>
        <v>0</v>
      </c>
      <c r="H82" s="153">
        <f>ROUND((G82+E82+D82)/(1-INPUT!$B$79)-(G82+E82+D82),4)</f>
        <v>0.0088</v>
      </c>
      <c r="I82" s="213">
        <f t="shared" si="21"/>
        <v>0.3723</v>
      </c>
      <c r="J82" s="238"/>
      <c r="K82" s="154">
        <f t="shared" si="22"/>
        <v>0.3723</v>
      </c>
    </row>
    <row r="83" spans="1:11" ht="13.5" thickBot="1">
      <c r="A83" s="329"/>
      <c r="B83" s="339"/>
      <c r="C83" s="143" t="s">
        <v>212</v>
      </c>
      <c r="D83" s="142">
        <f>WHOLESALE!N83</f>
        <v>0.2915</v>
      </c>
      <c r="E83" s="153">
        <f>ROUND(-INPUT!$B$75*D83,4)</f>
        <v>-0.0394</v>
      </c>
      <c r="F83" s="153">
        <f t="shared" si="20"/>
        <v>0.2521</v>
      </c>
      <c r="G83" s="153">
        <f>INPUT!E$107</f>
        <v>0</v>
      </c>
      <c r="H83" s="153">
        <f>ROUND((G83+E83+D83)/(1-INPUT!$B$79)-(G83+E83+D83),4)</f>
        <v>0.007</v>
      </c>
      <c r="I83" s="213">
        <f t="shared" si="21"/>
        <v>0.2965</v>
      </c>
      <c r="J83" s="238"/>
      <c r="K83" s="154"/>
    </row>
    <row r="84" spans="1:11" ht="13.5" thickBot="1">
      <c r="A84" s="329"/>
      <c r="B84" s="339"/>
      <c r="C84" s="143" t="s">
        <v>42</v>
      </c>
      <c r="D84" s="142">
        <f>WHOLESALE!N84</f>
        <v>0.2772</v>
      </c>
      <c r="E84" s="153">
        <f>ROUND(-INPUT!$B$75*D84,4)</f>
        <v>-0.0374</v>
      </c>
      <c r="F84" s="153">
        <f t="shared" si="20"/>
        <v>0.2398</v>
      </c>
      <c r="G84" s="153">
        <f>INPUT!E$108</f>
        <v>0</v>
      </c>
      <c r="H84" s="153">
        <f>ROUND((G84+E84+D84)/(1-INPUT!$B$79)-(G84+E84+D84),4)</f>
        <v>0.0067</v>
      </c>
      <c r="I84" s="213">
        <f t="shared" si="21"/>
        <v>0.2822</v>
      </c>
      <c r="J84" s="238"/>
      <c r="K84" s="154">
        <f t="shared" si="22"/>
        <v>0.2822</v>
      </c>
    </row>
    <row r="85" spans="1:11" ht="13.5" thickBot="1">
      <c r="A85" s="329"/>
      <c r="B85" s="339"/>
      <c r="C85" s="143" t="s">
        <v>43</v>
      </c>
      <c r="D85" s="142">
        <f>WHOLESALE!N85</f>
        <v>0.1765</v>
      </c>
      <c r="E85" s="153">
        <f>ROUND(-INPUT!$B$75*D85,4)</f>
        <v>-0.0238</v>
      </c>
      <c r="F85" s="153">
        <f t="shared" si="20"/>
        <v>0.1527</v>
      </c>
      <c r="G85" s="153">
        <f>INPUT!E$109</f>
        <v>0</v>
      </c>
      <c r="H85" s="153">
        <f>ROUND((G85+E85+D85)/(1-INPUT!$B$79)-(G85+E85+D85),4)</f>
        <v>0.0042</v>
      </c>
      <c r="I85" s="213">
        <f t="shared" si="21"/>
        <v>0.1815</v>
      </c>
      <c r="J85" s="238"/>
      <c r="K85" s="154">
        <f t="shared" si="22"/>
        <v>0.1815</v>
      </c>
    </row>
    <row r="86" spans="1:11" ht="13.5" thickBot="1">
      <c r="A86" s="329"/>
      <c r="B86" s="339"/>
      <c r="C86" s="143" t="s">
        <v>44</v>
      </c>
      <c r="D86" s="142">
        <f>WHOLESALE!N86</f>
        <v>0.1583</v>
      </c>
      <c r="E86" s="153">
        <f>ROUND(-INPUT!$B$75*D86,4)</f>
        <v>-0.0214</v>
      </c>
      <c r="F86" s="153">
        <f t="shared" si="20"/>
        <v>0.1369</v>
      </c>
      <c r="G86" s="153">
        <f>INPUT!E$110</f>
        <v>0</v>
      </c>
      <c r="H86" s="153">
        <f>ROUND((G86+E86+D86)/(1-INPUT!$B$79)-(G86+E86+D86),4)</f>
        <v>0.0038</v>
      </c>
      <c r="I86" s="213">
        <f t="shared" si="21"/>
        <v>0.1633</v>
      </c>
      <c r="J86" s="238"/>
      <c r="K86" s="154">
        <f t="shared" si="22"/>
        <v>0.1633</v>
      </c>
    </row>
    <row r="87" spans="1:11" ht="13.5" thickBot="1">
      <c r="A87" s="330"/>
      <c r="B87" s="340"/>
      <c r="C87" s="143" t="s">
        <v>64</v>
      </c>
      <c r="D87" s="145">
        <f>WHOLESALE!N87</f>
        <v>0.8587</v>
      </c>
      <c r="E87" s="156">
        <f>ROUND(-INPUT!$B$75*D87,4)</f>
        <v>-0.1159</v>
      </c>
      <c r="F87" s="156">
        <f t="shared" si="20"/>
        <v>0.7428</v>
      </c>
      <c r="G87" s="156">
        <f>INPUT!E$111</f>
        <v>0</v>
      </c>
      <c r="H87" s="156">
        <f>ROUND((G87+E87+D87)/(1-INPUT!$B$79)-(G87+E87+D87),4)</f>
        <v>0.0206</v>
      </c>
      <c r="I87" s="215">
        <f t="shared" si="21"/>
        <v>0.8637</v>
      </c>
      <c r="J87" s="240"/>
      <c r="K87" s="157">
        <f t="shared" si="22"/>
        <v>0.8637</v>
      </c>
    </row>
    <row r="88" spans="1:10" ht="14.25" thickBot="1" thickTop="1">
      <c r="A88" s="231"/>
      <c r="B88" s="232"/>
      <c r="C88" s="125"/>
      <c r="D88" s="9"/>
      <c r="E88" s="138"/>
      <c r="F88" s="138"/>
      <c r="G88" s="138"/>
      <c r="H88" s="138"/>
      <c r="I88" s="138"/>
      <c r="J88" s="138"/>
    </row>
    <row r="89" spans="1:11" ht="14.25" thickBot="1" thickTop="1">
      <c r="A89" s="334" t="s">
        <v>199</v>
      </c>
      <c r="B89" s="338"/>
      <c r="C89" s="143" t="s">
        <v>9</v>
      </c>
      <c r="D89" s="144">
        <f>WHOLESALE!N89</f>
        <v>4.0695</v>
      </c>
      <c r="E89" s="151">
        <f>ROUND(-INPUT!$B$75*D89,4)</f>
        <v>-0.5494</v>
      </c>
      <c r="F89" s="151">
        <f t="shared" si="20"/>
        <v>3.5201</v>
      </c>
      <c r="G89" s="151">
        <f>INPUT!E$103</f>
        <v>0</v>
      </c>
      <c r="H89" s="151">
        <f>ROUND((G89+E89+D89)/(1-INPUT!$B$79)-(G89+E89+D89),4)</f>
        <v>0.0977</v>
      </c>
      <c r="I89" s="212">
        <f aca="true" t="shared" si="23" ref="I89:I97">IF(ROUND(F89+G89+H89,2)&gt;D89,ROUND(F89+G89+H89,2),0.005+D89)</f>
        <v>4.0745</v>
      </c>
      <c r="J89" s="237"/>
      <c r="K89" s="152">
        <f>I89-J89</f>
        <v>4.0745</v>
      </c>
    </row>
    <row r="90" spans="1:11" ht="13.5" thickBot="1">
      <c r="A90" s="329"/>
      <c r="B90" s="339"/>
      <c r="C90" s="143" t="s">
        <v>41</v>
      </c>
      <c r="D90" s="142">
        <f>WHOLESALE!N90</f>
        <v>2.0572</v>
      </c>
      <c r="E90" s="153">
        <f>ROUND(-INPUT!$B$75*D90,4)</f>
        <v>-0.2777</v>
      </c>
      <c r="F90" s="153">
        <f t="shared" si="20"/>
        <v>1.7794999999999999</v>
      </c>
      <c r="G90" s="153">
        <f>INPUT!E$104</f>
        <v>0</v>
      </c>
      <c r="H90" s="153">
        <f>ROUND((G90+E90+D90)/(1-INPUT!$B$79)-(G90+E90+D90),4)</f>
        <v>0.0494</v>
      </c>
      <c r="I90" s="213">
        <f t="shared" si="23"/>
        <v>2.0622</v>
      </c>
      <c r="J90" s="238"/>
      <c r="K90" s="154">
        <f aca="true" t="shared" si="24" ref="K90:K97">I90-J90</f>
        <v>2.0622</v>
      </c>
    </row>
    <row r="91" spans="1:11" ht="13.5" thickBot="1">
      <c r="A91" s="329"/>
      <c r="B91" s="339"/>
      <c r="C91" s="143" t="s">
        <v>10</v>
      </c>
      <c r="D91" s="142">
        <f>WHOLESALE!N91</f>
        <v>1.0934</v>
      </c>
      <c r="E91" s="153">
        <f>ROUND(-INPUT!$B$75*D91,4)</f>
        <v>-0.1476</v>
      </c>
      <c r="F91" s="153">
        <f t="shared" si="20"/>
        <v>0.9458</v>
      </c>
      <c r="G91" s="155">
        <f>INPUT!E$105</f>
        <v>0</v>
      </c>
      <c r="H91" s="155">
        <f>ROUND((G91+E91+D91)/(1-INPUT!$B$79)-(G91+E91+D91),4)</f>
        <v>0.0262</v>
      </c>
      <c r="I91" s="214">
        <f t="shared" si="23"/>
        <v>1.0983999999999998</v>
      </c>
      <c r="J91" s="239"/>
      <c r="K91" s="154">
        <f t="shared" si="24"/>
        <v>1.0983999999999998</v>
      </c>
    </row>
    <row r="92" spans="1:11" ht="13.5" thickBot="1">
      <c r="A92" s="329"/>
      <c r="B92" s="339"/>
      <c r="C92" s="143" t="s">
        <v>11</v>
      </c>
      <c r="D92" s="142">
        <f>WHOLESALE!N92</f>
        <v>0.5882</v>
      </c>
      <c r="E92" s="153">
        <f>ROUND(-INPUT!$B$75*D92,4)</f>
        <v>-0.0794</v>
      </c>
      <c r="F92" s="153">
        <f t="shared" si="20"/>
        <v>0.5087999999999999</v>
      </c>
      <c r="G92" s="153">
        <f>INPUT!E$106</f>
        <v>0</v>
      </c>
      <c r="H92" s="153">
        <f>ROUND((G92+E92+D92)/(1-INPUT!$B$79)-(G92+E92+D92),4)</f>
        <v>0.0141</v>
      </c>
      <c r="I92" s="213">
        <f t="shared" si="23"/>
        <v>0.5932</v>
      </c>
      <c r="J92" s="238"/>
      <c r="K92" s="154">
        <f t="shared" si="24"/>
        <v>0.5932</v>
      </c>
    </row>
    <row r="93" spans="1:11" ht="13.5" thickBot="1">
      <c r="A93" s="329"/>
      <c r="B93" s="339"/>
      <c r="C93" s="143" t="s">
        <v>212</v>
      </c>
      <c r="D93" s="142">
        <f>WHOLESALE!N93</f>
        <v>0.4571</v>
      </c>
      <c r="E93" s="153">
        <f>ROUND(-INPUT!$B$75*D93,4)</f>
        <v>-0.0617</v>
      </c>
      <c r="F93" s="153">
        <f t="shared" si="20"/>
        <v>0.39540000000000003</v>
      </c>
      <c r="G93" s="153">
        <f>INPUT!E$107</f>
        <v>0</v>
      </c>
      <c r="H93" s="153">
        <f>ROUND((G93+E93+D93)/(1-INPUT!$B$79)-(G93+E93+D93),4)</f>
        <v>0.011</v>
      </c>
      <c r="I93" s="213">
        <f t="shared" si="23"/>
        <v>0.4621</v>
      </c>
      <c r="J93" s="238"/>
      <c r="K93" s="154"/>
    </row>
    <row r="94" spans="1:11" ht="13.5" thickBot="1">
      <c r="A94" s="329"/>
      <c r="B94" s="339"/>
      <c r="C94" s="143" t="s">
        <v>42</v>
      </c>
      <c r="D94" s="142">
        <f>WHOLESALE!N94</f>
        <v>0.4152</v>
      </c>
      <c r="E94" s="153">
        <f>ROUND(-INPUT!$B$75*D94,4)</f>
        <v>-0.0561</v>
      </c>
      <c r="F94" s="153">
        <f t="shared" si="20"/>
        <v>0.35910000000000003</v>
      </c>
      <c r="G94" s="153">
        <f>INPUT!E$108</f>
        <v>0</v>
      </c>
      <c r="H94" s="153">
        <f>ROUND((G94+E94+D94)/(1-INPUT!$B$79)-(G94+E94+D94),4)</f>
        <v>0.01</v>
      </c>
      <c r="I94" s="213">
        <f t="shared" si="23"/>
        <v>0.4202</v>
      </c>
      <c r="J94" s="238"/>
      <c r="K94" s="154">
        <f t="shared" si="24"/>
        <v>0.4202</v>
      </c>
    </row>
    <row r="95" spans="1:11" ht="13.5" thickBot="1">
      <c r="A95" s="329"/>
      <c r="B95" s="339"/>
      <c r="C95" s="143" t="s">
        <v>43</v>
      </c>
      <c r="D95" s="142">
        <f>WHOLESALE!N95</f>
        <v>0.2868</v>
      </c>
      <c r="E95" s="153">
        <f>ROUND(-INPUT!$B$75*D95,4)</f>
        <v>-0.0387</v>
      </c>
      <c r="F95" s="153">
        <f t="shared" si="20"/>
        <v>0.2481</v>
      </c>
      <c r="G95" s="153">
        <f>INPUT!E$109</f>
        <v>0</v>
      </c>
      <c r="H95" s="153">
        <f>ROUND((G95+E95+D95)/(1-INPUT!$B$79)-(G95+E95+D95),4)</f>
        <v>0.0069</v>
      </c>
      <c r="I95" s="213">
        <f t="shared" si="23"/>
        <v>0.2918</v>
      </c>
      <c r="J95" s="238"/>
      <c r="K95" s="154">
        <f t="shared" si="24"/>
        <v>0.2918</v>
      </c>
    </row>
    <row r="96" spans="1:11" ht="13.5" thickBot="1">
      <c r="A96" s="329"/>
      <c r="B96" s="339"/>
      <c r="C96" s="143" t="s">
        <v>44</v>
      </c>
      <c r="D96" s="142">
        <f>WHOLESALE!N96</f>
        <v>0.2135</v>
      </c>
      <c r="E96" s="153">
        <f>ROUND(-INPUT!$B$75*D96,4)</f>
        <v>-0.0288</v>
      </c>
      <c r="F96" s="153">
        <f t="shared" si="20"/>
        <v>0.1847</v>
      </c>
      <c r="G96" s="153">
        <f>INPUT!E$110</f>
        <v>0</v>
      </c>
      <c r="H96" s="153">
        <f>ROUND((G96+E96+D96)/(1-INPUT!$B$79)-(G96+E96+D96),4)</f>
        <v>0.0051</v>
      </c>
      <c r="I96" s="213">
        <f t="shared" si="23"/>
        <v>0.2185</v>
      </c>
      <c r="J96" s="238"/>
      <c r="K96" s="154">
        <f t="shared" si="24"/>
        <v>0.2185</v>
      </c>
    </row>
    <row r="97" spans="1:11" ht="13.5" thickBot="1">
      <c r="A97" s="330"/>
      <c r="B97" s="340"/>
      <c r="C97" s="143" t="s">
        <v>64</v>
      </c>
      <c r="D97" s="145">
        <f>WHOLESALE!N97</f>
        <v>1.3003</v>
      </c>
      <c r="E97" s="156">
        <f>ROUND(-INPUT!$B$75*D97,4)</f>
        <v>-0.1755</v>
      </c>
      <c r="F97" s="156">
        <f t="shared" si="20"/>
        <v>1.1248</v>
      </c>
      <c r="G97" s="156">
        <f>INPUT!E$111</f>
        <v>0</v>
      </c>
      <c r="H97" s="156">
        <f>ROUND((G97+E97+D97)/(1-INPUT!$B$79)-(G97+E97+D97),4)</f>
        <v>0.0312</v>
      </c>
      <c r="I97" s="215">
        <f t="shared" si="23"/>
        <v>1.3053</v>
      </c>
      <c r="J97" s="240"/>
      <c r="K97" s="157">
        <f t="shared" si="24"/>
        <v>1.3053</v>
      </c>
    </row>
    <row r="98" spans="1:10" ht="14.25" thickBot="1" thickTop="1">
      <c r="A98" s="230"/>
      <c r="B98" s="232"/>
      <c r="C98" s="146"/>
      <c r="D98" s="9"/>
      <c r="E98" s="138"/>
      <c r="F98" s="138"/>
      <c r="G98" s="138"/>
      <c r="H98" s="138"/>
      <c r="I98" s="138"/>
      <c r="J98" s="138"/>
    </row>
    <row r="99" spans="1:11" ht="14.25" thickBot="1" thickTop="1">
      <c r="A99" s="334" t="s">
        <v>46</v>
      </c>
      <c r="B99" s="338"/>
      <c r="C99" s="143" t="s">
        <v>41</v>
      </c>
      <c r="D99" s="144">
        <f>WHOLESALE!N99</f>
        <v>1.4325</v>
      </c>
      <c r="E99" s="151">
        <f>ROUND(-INPUT!$B$75*D99,4)</f>
        <v>-0.1934</v>
      </c>
      <c r="F99" s="151">
        <f aca="true" t="shared" si="25" ref="F99:F106">$D99+E99</f>
        <v>1.2391</v>
      </c>
      <c r="G99" s="151">
        <f>INPUT!E$104</f>
        <v>0</v>
      </c>
      <c r="H99" s="151">
        <f>ROUND((G99+E99+D99)/(1-INPUT!$B$79)-(G99+E99+D99),4)</f>
        <v>0.0344</v>
      </c>
      <c r="I99" s="212">
        <f aca="true" t="shared" si="26" ref="I99:I106">IF(ROUND(F99+G99+H99,2)&gt;D99,ROUND(F99+G99+H99,2),0.005+D99)</f>
        <v>1.4375</v>
      </c>
      <c r="J99" s="237"/>
      <c r="K99" s="152">
        <f>I99-J99</f>
        <v>1.4375</v>
      </c>
    </row>
    <row r="100" spans="1:11" ht="13.5" thickBot="1">
      <c r="A100" s="345"/>
      <c r="B100" s="339"/>
      <c r="C100" s="143" t="s">
        <v>10</v>
      </c>
      <c r="D100" s="142">
        <f>WHOLESALE!N100</f>
        <v>0.7811</v>
      </c>
      <c r="E100" s="153">
        <f>ROUND(-INPUT!$B$75*D100,4)</f>
        <v>-0.1054</v>
      </c>
      <c r="F100" s="153">
        <f t="shared" si="25"/>
        <v>0.6757</v>
      </c>
      <c r="G100" s="155">
        <f>INPUT!E$105</f>
        <v>0</v>
      </c>
      <c r="H100" s="155">
        <f>ROUND((G100+E100+D100)/(1-INPUT!$B$79)-(G100+E100+D100),4)</f>
        <v>0.0188</v>
      </c>
      <c r="I100" s="213">
        <f t="shared" si="26"/>
        <v>0.7861</v>
      </c>
      <c r="J100" s="238"/>
      <c r="K100" s="154">
        <f aca="true" t="shared" si="27" ref="K100:K115">I100-J100</f>
        <v>0.7861</v>
      </c>
    </row>
    <row r="101" spans="1:11" ht="13.5" thickBot="1">
      <c r="A101" s="345"/>
      <c r="B101" s="339"/>
      <c r="C101" s="143" t="s">
        <v>11</v>
      </c>
      <c r="D101" s="142">
        <f>WHOLESALE!N101</f>
        <v>0.432</v>
      </c>
      <c r="E101" s="153">
        <f>ROUND(-INPUT!$B$75*D101,4)</f>
        <v>-0.0583</v>
      </c>
      <c r="F101" s="153">
        <f t="shared" si="25"/>
        <v>0.3737</v>
      </c>
      <c r="G101" s="153">
        <f>INPUT!E$106</f>
        <v>0</v>
      </c>
      <c r="H101" s="153">
        <f>ROUND((G101+E101+D101)/(1-INPUT!$B$79)-(G101+E101+D101),4)</f>
        <v>0.0104</v>
      </c>
      <c r="I101" s="214">
        <f t="shared" si="26"/>
        <v>0.437</v>
      </c>
      <c r="J101" s="239"/>
      <c r="K101" s="154">
        <f t="shared" si="27"/>
        <v>0.437</v>
      </c>
    </row>
    <row r="102" spans="1:11" ht="13.5" thickBot="1">
      <c r="A102" s="345"/>
      <c r="B102" s="339"/>
      <c r="C102" s="143" t="s">
        <v>212</v>
      </c>
      <c r="D102" s="142">
        <f>WHOLESALE!N102</f>
        <v>0.34</v>
      </c>
      <c r="E102" s="153">
        <f>ROUND(-INPUT!$B$75*D102,4)</f>
        <v>-0.0459</v>
      </c>
      <c r="F102" s="153">
        <f t="shared" si="25"/>
        <v>0.29410000000000003</v>
      </c>
      <c r="G102" s="153">
        <f>INPUT!E$107</f>
        <v>0</v>
      </c>
      <c r="H102" s="153">
        <f>ROUND((G102+E102+D102)/(1-INPUT!$B$79)-(G102+E102+D102),4)</f>
        <v>0.0082</v>
      </c>
      <c r="I102" s="213">
        <f t="shared" si="26"/>
        <v>0.34500000000000003</v>
      </c>
      <c r="J102" s="239"/>
      <c r="K102" s="154"/>
    </row>
    <row r="103" spans="1:11" ht="13.5" thickBot="1">
      <c r="A103" s="345"/>
      <c r="B103" s="339"/>
      <c r="C103" s="143" t="s">
        <v>42</v>
      </c>
      <c r="D103" s="142">
        <f>WHOLESALE!N103</f>
        <v>0.3176</v>
      </c>
      <c r="E103" s="153">
        <f>ROUND(-INPUT!$B$75*D103,4)</f>
        <v>-0.0429</v>
      </c>
      <c r="F103" s="153">
        <f t="shared" si="25"/>
        <v>0.2747</v>
      </c>
      <c r="G103" s="153">
        <f>INPUT!E$108</f>
        <v>0</v>
      </c>
      <c r="H103" s="153">
        <f>ROUND((G103+E103+D103)/(1-INPUT!$B$79)-(G103+E103+D103),4)</f>
        <v>0.0076</v>
      </c>
      <c r="I103" s="213">
        <f t="shared" si="26"/>
        <v>0.3226</v>
      </c>
      <c r="J103" s="238"/>
      <c r="K103" s="154">
        <f t="shared" si="27"/>
        <v>0.3226</v>
      </c>
    </row>
    <row r="104" spans="1:11" ht="13.5" thickBot="1">
      <c r="A104" s="345"/>
      <c r="B104" s="339"/>
      <c r="C104" s="143" t="s">
        <v>43</v>
      </c>
      <c r="D104" s="142">
        <f>WHOLESALE!N104</f>
        <v>0.2088</v>
      </c>
      <c r="E104" s="153">
        <f>ROUND(-INPUT!$B$75*D104,4)</f>
        <v>-0.0282</v>
      </c>
      <c r="F104" s="153">
        <f t="shared" si="25"/>
        <v>0.1806</v>
      </c>
      <c r="G104" s="153">
        <f>INPUT!E$109</f>
        <v>0</v>
      </c>
      <c r="H104" s="153">
        <f>ROUND((G104+E104+D104)/(1-INPUT!$B$79)-(G104+E104+D104),4)</f>
        <v>0.005</v>
      </c>
      <c r="I104" s="213">
        <f t="shared" si="26"/>
        <v>0.21380000000000002</v>
      </c>
      <c r="J104" s="238"/>
      <c r="K104" s="154">
        <f t="shared" si="27"/>
        <v>0.21380000000000002</v>
      </c>
    </row>
    <row r="105" spans="1:11" ht="13.5" thickBot="1">
      <c r="A105" s="345"/>
      <c r="B105" s="339"/>
      <c r="C105" s="143" t="s">
        <v>44</v>
      </c>
      <c r="D105" s="142">
        <f>WHOLESALE!N105</f>
        <v>0.1744</v>
      </c>
      <c r="E105" s="153">
        <f>ROUND(-INPUT!$B$75*D105,4)</f>
        <v>-0.0235</v>
      </c>
      <c r="F105" s="153">
        <f t="shared" si="25"/>
        <v>0.1509</v>
      </c>
      <c r="G105" s="153">
        <f>INPUT!E$110</f>
        <v>0</v>
      </c>
      <c r="H105" s="153">
        <f>ROUND((G105+E105+D105)/(1-INPUT!$B$79)-(G105+E105+D105),4)</f>
        <v>0.0042</v>
      </c>
      <c r="I105" s="213">
        <f t="shared" si="26"/>
        <v>0.1794</v>
      </c>
      <c r="J105" s="238"/>
      <c r="K105" s="154">
        <f t="shared" si="27"/>
        <v>0.1794</v>
      </c>
    </row>
    <row r="106" spans="1:11" ht="13.5" thickBot="1">
      <c r="A106" s="346"/>
      <c r="B106" s="340"/>
      <c r="C106" s="143" t="s">
        <v>64</v>
      </c>
      <c r="D106" s="145">
        <f>WHOLESALE!N106</f>
        <v>0.9879</v>
      </c>
      <c r="E106" s="156">
        <f>ROUND(-INPUT!$B$75*D106,4)</f>
        <v>-0.1334</v>
      </c>
      <c r="F106" s="156">
        <f t="shared" si="25"/>
        <v>0.8545</v>
      </c>
      <c r="G106" s="156">
        <f>INPUT!E$111</f>
        <v>0</v>
      </c>
      <c r="H106" s="216">
        <f>ROUND((G106+E106+D106)/(1-INPUT!$B$79)-(G106+E106+D106),4)</f>
        <v>0.0237</v>
      </c>
      <c r="I106" s="217">
        <f t="shared" si="26"/>
        <v>0.9929</v>
      </c>
      <c r="J106" s="241"/>
      <c r="K106" s="218">
        <f t="shared" si="27"/>
        <v>0.9929</v>
      </c>
    </row>
    <row r="107" spans="1:11" ht="14.25" thickBot="1" thickTop="1">
      <c r="A107" s="230"/>
      <c r="B107" s="232"/>
      <c r="C107" s="124"/>
      <c r="D107" s="9"/>
      <c r="E107" s="138"/>
      <c r="F107" s="138"/>
      <c r="G107" s="138"/>
      <c r="H107" s="219"/>
      <c r="I107" s="219"/>
      <c r="J107" s="219"/>
      <c r="K107" s="219"/>
    </row>
    <row r="108" spans="1:11" ht="14.25" thickBot="1" thickTop="1">
      <c r="A108" s="334" t="s">
        <v>200</v>
      </c>
      <c r="B108" s="335" t="s">
        <v>201</v>
      </c>
      <c r="C108" s="143" t="s">
        <v>41</v>
      </c>
      <c r="D108" s="144">
        <f>WHOLESALE!N111</f>
        <v>1.4375</v>
      </c>
      <c r="E108" s="151">
        <f>ROUND(-INPUT!$B$75*D108,4)</f>
        <v>-0.1941</v>
      </c>
      <c r="F108" s="151">
        <f aca="true" t="shared" si="28" ref="F108:F115">$D108+E108</f>
        <v>1.2434</v>
      </c>
      <c r="G108" s="151">
        <f>INPUT!E$104</f>
        <v>0</v>
      </c>
      <c r="H108" s="151">
        <f>ROUND((G108+E108+D108)/(1-INPUT!$B$79)-(G108+E108+D108),4)</f>
        <v>0.0345</v>
      </c>
      <c r="I108" s="212">
        <f aca="true" t="shared" si="29" ref="I108:I115">IF(ROUND(F108+G108+H108,2)&gt;D108,ROUND(F108+G108+H108,2),0.005+D108)</f>
        <v>1.4425</v>
      </c>
      <c r="J108" s="237"/>
      <c r="K108" s="152">
        <f>I108-J108</f>
        <v>1.4425</v>
      </c>
    </row>
    <row r="109" spans="1:11" ht="13.5" thickBot="1">
      <c r="A109" s="329"/>
      <c r="B109" s="336"/>
      <c r="C109" s="143" t="s">
        <v>10</v>
      </c>
      <c r="D109" s="142">
        <f>WHOLESALE!N112</f>
        <v>0.7836</v>
      </c>
      <c r="E109" s="153">
        <f>ROUND(-INPUT!$B$75*D109,4)</f>
        <v>-0.1058</v>
      </c>
      <c r="F109" s="153">
        <f t="shared" si="28"/>
        <v>0.6778</v>
      </c>
      <c r="G109" s="155">
        <f>INPUT!E$105</f>
        <v>0</v>
      </c>
      <c r="H109" s="155">
        <f>ROUND((G109+E109+D109)/(1-INPUT!$B$79)-(G109+E109+D109),4)</f>
        <v>0.0188</v>
      </c>
      <c r="I109" s="213">
        <f t="shared" si="29"/>
        <v>0.7886</v>
      </c>
      <c r="J109" s="238"/>
      <c r="K109" s="154">
        <f t="shared" si="27"/>
        <v>0.7886</v>
      </c>
    </row>
    <row r="110" spans="1:11" ht="13.5" thickBot="1">
      <c r="A110" s="329"/>
      <c r="B110" s="336"/>
      <c r="C110" s="143" t="s">
        <v>11</v>
      </c>
      <c r="D110" s="142">
        <f>WHOLESALE!N113</f>
        <v>0.4332</v>
      </c>
      <c r="E110" s="153">
        <f>ROUND(-INPUT!$B$75*D110,4)</f>
        <v>-0.0585</v>
      </c>
      <c r="F110" s="153">
        <f t="shared" si="28"/>
        <v>0.3747</v>
      </c>
      <c r="G110" s="153">
        <f>INPUT!E$106</f>
        <v>0</v>
      </c>
      <c r="H110" s="153">
        <f>ROUND((G110+E110+D110)/(1-INPUT!$B$79)-(G110+E110+D110),4)</f>
        <v>0.0104</v>
      </c>
      <c r="I110" s="214">
        <f t="shared" si="29"/>
        <v>0.4382</v>
      </c>
      <c r="J110" s="239"/>
      <c r="K110" s="154">
        <f t="shared" si="27"/>
        <v>0.4382</v>
      </c>
    </row>
    <row r="111" spans="1:11" ht="13.5" thickBot="1">
      <c r="A111" s="329"/>
      <c r="B111" s="336"/>
      <c r="C111" s="143" t="s">
        <v>212</v>
      </c>
      <c r="D111" s="142">
        <f>WHOLESALE!N114</f>
        <v>0.341</v>
      </c>
      <c r="E111" s="153">
        <f>ROUND(-INPUT!$B$75*D111,4)</f>
        <v>-0.046</v>
      </c>
      <c r="F111" s="153">
        <f t="shared" si="28"/>
        <v>0.29500000000000004</v>
      </c>
      <c r="G111" s="153">
        <f>INPUT!E$107</f>
        <v>0</v>
      </c>
      <c r="H111" s="153">
        <f>ROUND((G111+E111+D111)/(1-INPUT!$B$79)-(G111+E111+D111),4)</f>
        <v>0.0082</v>
      </c>
      <c r="I111" s="213">
        <f t="shared" si="29"/>
        <v>0.34600000000000003</v>
      </c>
      <c r="J111" s="239"/>
      <c r="K111" s="154"/>
    </row>
    <row r="112" spans="1:11" ht="13.5" thickBot="1">
      <c r="A112" s="329"/>
      <c r="B112" s="336"/>
      <c r="C112" s="143" t="s">
        <v>42</v>
      </c>
      <c r="D112" s="142">
        <f>WHOLESALE!N115</f>
        <v>0.3184</v>
      </c>
      <c r="E112" s="153">
        <f>ROUND(-INPUT!$B$75*D112,4)</f>
        <v>-0.043</v>
      </c>
      <c r="F112" s="153">
        <f t="shared" si="28"/>
        <v>0.27540000000000003</v>
      </c>
      <c r="G112" s="153">
        <f>INPUT!E$108</f>
        <v>0</v>
      </c>
      <c r="H112" s="153">
        <f>ROUND((G112+E112+D112)/(1-INPUT!$B$79)-(G112+E112+D112),4)</f>
        <v>0.0076</v>
      </c>
      <c r="I112" s="213">
        <f t="shared" si="29"/>
        <v>0.3234</v>
      </c>
      <c r="J112" s="238"/>
      <c r="K112" s="154">
        <f t="shared" si="27"/>
        <v>0.3234</v>
      </c>
    </row>
    <row r="113" spans="1:11" ht="13.5" thickBot="1">
      <c r="A113" s="329"/>
      <c r="B113" s="336"/>
      <c r="C113" s="143" t="s">
        <v>43</v>
      </c>
      <c r="D113" s="142">
        <f>WHOLESALE!N116</f>
        <v>0.2094</v>
      </c>
      <c r="E113" s="153">
        <f>ROUND(-INPUT!$B$75*D113,4)</f>
        <v>-0.0283</v>
      </c>
      <c r="F113" s="153">
        <f t="shared" si="28"/>
        <v>0.1811</v>
      </c>
      <c r="G113" s="153">
        <f>INPUT!E$109</f>
        <v>0</v>
      </c>
      <c r="H113" s="153">
        <f>ROUND((G113+E113+D113)/(1-INPUT!$B$79)-(G113+E113+D113),4)</f>
        <v>0.005</v>
      </c>
      <c r="I113" s="213">
        <f t="shared" si="29"/>
        <v>0.2144</v>
      </c>
      <c r="J113" s="238"/>
      <c r="K113" s="154">
        <f t="shared" si="27"/>
        <v>0.2144</v>
      </c>
    </row>
    <row r="114" spans="1:11" ht="13.5" thickBot="1">
      <c r="A114" s="329"/>
      <c r="B114" s="336"/>
      <c r="C114" s="143" t="s">
        <v>44</v>
      </c>
      <c r="D114" s="142">
        <f>WHOLESALE!N117</f>
        <v>0.1748</v>
      </c>
      <c r="E114" s="153">
        <f>ROUND(-INPUT!$B$75*D114,4)</f>
        <v>-0.0236</v>
      </c>
      <c r="F114" s="153">
        <f t="shared" si="28"/>
        <v>0.1512</v>
      </c>
      <c r="G114" s="153">
        <f>INPUT!E$110</f>
        <v>0</v>
      </c>
      <c r="H114" s="153">
        <f>ROUND((G114+E114+D114)/(1-INPUT!$B$79)-(G114+E114+D114),4)</f>
        <v>0.0042</v>
      </c>
      <c r="I114" s="213">
        <f t="shared" si="29"/>
        <v>0.17980000000000002</v>
      </c>
      <c r="J114" s="238"/>
      <c r="K114" s="154">
        <f t="shared" si="27"/>
        <v>0.17980000000000002</v>
      </c>
    </row>
    <row r="115" spans="1:11" ht="13.5" thickBot="1">
      <c r="A115" s="330"/>
      <c r="B115" s="337"/>
      <c r="C115" s="143" t="s">
        <v>64</v>
      </c>
      <c r="D115" s="145">
        <f>WHOLESALE!N118</f>
        <v>0.9904</v>
      </c>
      <c r="E115" s="156">
        <f>ROUND(-INPUT!$B$75*D115,4)</f>
        <v>-0.1337</v>
      </c>
      <c r="F115" s="156">
        <f t="shared" si="28"/>
        <v>0.8566999999999999</v>
      </c>
      <c r="G115" s="156">
        <f>INPUT!E$111</f>
        <v>0</v>
      </c>
      <c r="H115" s="156">
        <f>ROUND((G115+E115+D115)/(1-INPUT!$B$79)-(G115+E115+D115),4)</f>
        <v>0.0238</v>
      </c>
      <c r="I115" s="217">
        <f t="shared" si="29"/>
        <v>0.9954</v>
      </c>
      <c r="J115" s="241"/>
      <c r="K115" s="218">
        <f t="shared" si="27"/>
        <v>0.9954</v>
      </c>
    </row>
    <row r="116" spans="3:11" ht="14.25" thickBot="1" thickTop="1">
      <c r="C116" s="125"/>
      <c r="D116" s="9"/>
      <c r="E116" s="138"/>
      <c r="F116" s="138"/>
      <c r="G116" s="138"/>
      <c r="H116" s="138"/>
      <c r="I116" s="219"/>
      <c r="J116" s="219"/>
      <c r="K116" s="219"/>
    </row>
    <row r="117" spans="1:11" ht="14.25" thickBot="1" thickTop="1">
      <c r="A117" s="334" t="s">
        <v>202</v>
      </c>
      <c r="B117" s="335" t="s">
        <v>201</v>
      </c>
      <c r="C117" s="143" t="s">
        <v>41</v>
      </c>
      <c r="D117" s="144">
        <f>WHOLESALE!N120</f>
        <v>1.4375</v>
      </c>
      <c r="E117" s="151">
        <f>ROUND(-INPUT!$B$75*D117,4)</f>
        <v>-0.1941</v>
      </c>
      <c r="F117" s="151">
        <f aca="true" t="shared" si="30" ref="F117:F124">$D117+E117</f>
        <v>1.2434</v>
      </c>
      <c r="G117" s="151">
        <f>INPUT!E$104</f>
        <v>0</v>
      </c>
      <c r="H117" s="151">
        <f>ROUND((G117+E117+D117)/(1-INPUT!$B$79)-(G117+E117+D117),4)</f>
        <v>0.0345</v>
      </c>
      <c r="I117" s="212">
        <f aca="true" t="shared" si="31" ref="I117:I124">IF(ROUND(F117+G117+H117,2)&gt;D117,ROUND(F117+G117+H117,2),0.005+D117)</f>
        <v>1.4425</v>
      </c>
      <c r="J117" s="237"/>
      <c r="K117" s="152">
        <f>I117-J117</f>
        <v>1.4425</v>
      </c>
    </row>
    <row r="118" spans="1:11" ht="13.5" thickBot="1">
      <c r="A118" s="329"/>
      <c r="B118" s="336"/>
      <c r="C118" s="143" t="s">
        <v>10</v>
      </c>
      <c r="D118" s="142">
        <f>WHOLESALE!N121</f>
        <v>0.7836</v>
      </c>
      <c r="E118" s="153">
        <f>ROUND(-INPUT!$B$75*D118,4)</f>
        <v>-0.1058</v>
      </c>
      <c r="F118" s="153">
        <f t="shared" si="30"/>
        <v>0.6778</v>
      </c>
      <c r="G118" s="155">
        <f>INPUT!E$105</f>
        <v>0</v>
      </c>
      <c r="H118" s="155">
        <f>ROUND((G118+E118+D118)/(1-INPUT!$B$79)-(G118+E118+D118),4)</f>
        <v>0.0188</v>
      </c>
      <c r="I118" s="213">
        <f t="shared" si="31"/>
        <v>0.7886</v>
      </c>
      <c r="J118" s="238"/>
      <c r="K118" s="154">
        <f aca="true" t="shared" si="32" ref="K118:K124">I118-J118</f>
        <v>0.7886</v>
      </c>
    </row>
    <row r="119" spans="1:11" ht="13.5" thickBot="1">
      <c r="A119" s="329"/>
      <c r="B119" s="336"/>
      <c r="C119" s="143" t="s">
        <v>11</v>
      </c>
      <c r="D119" s="142">
        <f>WHOLESALE!N122</f>
        <v>0.4332</v>
      </c>
      <c r="E119" s="153">
        <f>ROUND(-INPUT!$B$75*D119,4)</f>
        <v>-0.0585</v>
      </c>
      <c r="F119" s="153">
        <f t="shared" si="30"/>
        <v>0.3747</v>
      </c>
      <c r="G119" s="153">
        <f>INPUT!E$106</f>
        <v>0</v>
      </c>
      <c r="H119" s="153">
        <f>ROUND((G119+E119+D119)/(1-INPUT!$B$79)-(G119+E119+D119),4)</f>
        <v>0.0104</v>
      </c>
      <c r="I119" s="214">
        <f t="shared" si="31"/>
        <v>0.4382</v>
      </c>
      <c r="J119" s="239"/>
      <c r="K119" s="154">
        <f t="shared" si="32"/>
        <v>0.4382</v>
      </c>
    </row>
    <row r="120" spans="1:11" ht="13.5" thickBot="1">
      <c r="A120" s="329"/>
      <c r="B120" s="336"/>
      <c r="C120" s="143" t="s">
        <v>212</v>
      </c>
      <c r="D120" s="142">
        <f>WHOLESALE!N123</f>
        <v>0.341</v>
      </c>
      <c r="E120" s="153">
        <f>ROUND(-INPUT!$B$75*D120,4)</f>
        <v>-0.046</v>
      </c>
      <c r="F120" s="153">
        <f t="shared" si="30"/>
        <v>0.29500000000000004</v>
      </c>
      <c r="G120" s="153">
        <f>INPUT!E$107</f>
        <v>0</v>
      </c>
      <c r="H120" s="153">
        <f>ROUND((G120+E120+D120)/(1-INPUT!$B$79)-(G120+E120+D120),4)</f>
        <v>0.0082</v>
      </c>
      <c r="I120" s="213">
        <f t="shared" si="31"/>
        <v>0.34600000000000003</v>
      </c>
      <c r="J120" s="239"/>
      <c r="K120" s="154"/>
    </row>
    <row r="121" spans="1:11" ht="13.5" thickBot="1">
      <c r="A121" s="329"/>
      <c r="B121" s="336"/>
      <c r="C121" s="143" t="s">
        <v>42</v>
      </c>
      <c r="D121" s="142">
        <f>WHOLESALE!N124</f>
        <v>0.3184</v>
      </c>
      <c r="E121" s="153">
        <f>ROUND(-INPUT!$B$75*D121,4)</f>
        <v>-0.043</v>
      </c>
      <c r="F121" s="153">
        <f t="shared" si="30"/>
        <v>0.27540000000000003</v>
      </c>
      <c r="G121" s="153">
        <f>INPUT!E$108</f>
        <v>0</v>
      </c>
      <c r="H121" s="153">
        <f>ROUND((G121+E121+D121)/(1-INPUT!$B$79)-(G121+E121+D121),4)</f>
        <v>0.0076</v>
      </c>
      <c r="I121" s="213">
        <f t="shared" si="31"/>
        <v>0.3234</v>
      </c>
      <c r="J121" s="238"/>
      <c r="K121" s="154">
        <f t="shared" si="32"/>
        <v>0.3234</v>
      </c>
    </row>
    <row r="122" spans="1:11" ht="13.5" thickBot="1">
      <c r="A122" s="329"/>
      <c r="B122" s="336"/>
      <c r="C122" s="143" t="s">
        <v>43</v>
      </c>
      <c r="D122" s="142">
        <f>WHOLESALE!N125</f>
        <v>0.2094</v>
      </c>
      <c r="E122" s="153">
        <f>ROUND(-INPUT!$B$75*D122,4)</f>
        <v>-0.0283</v>
      </c>
      <c r="F122" s="153">
        <f t="shared" si="30"/>
        <v>0.1811</v>
      </c>
      <c r="G122" s="153">
        <f>INPUT!E$109</f>
        <v>0</v>
      </c>
      <c r="H122" s="153">
        <f>ROUND((G122+E122+D122)/(1-INPUT!$B$79)-(G122+E122+D122),4)</f>
        <v>0.005</v>
      </c>
      <c r="I122" s="213">
        <f t="shared" si="31"/>
        <v>0.2144</v>
      </c>
      <c r="J122" s="238"/>
      <c r="K122" s="154">
        <f t="shared" si="32"/>
        <v>0.2144</v>
      </c>
    </row>
    <row r="123" spans="1:11" ht="13.5" thickBot="1">
      <c r="A123" s="329"/>
      <c r="B123" s="336"/>
      <c r="C123" s="143" t="s">
        <v>44</v>
      </c>
      <c r="D123" s="142">
        <f>WHOLESALE!N126</f>
        <v>0.1748</v>
      </c>
      <c r="E123" s="153">
        <f>ROUND(-INPUT!$B$75*D123,4)</f>
        <v>-0.0236</v>
      </c>
      <c r="F123" s="153">
        <f t="shared" si="30"/>
        <v>0.1512</v>
      </c>
      <c r="G123" s="153">
        <f>INPUT!E$110</f>
        <v>0</v>
      </c>
      <c r="H123" s="153">
        <f>ROUND((G123+E123+D123)/(1-INPUT!$B$79)-(G123+E123+D123),4)</f>
        <v>0.0042</v>
      </c>
      <c r="I123" s="213">
        <f t="shared" si="31"/>
        <v>0.17980000000000002</v>
      </c>
      <c r="J123" s="238"/>
      <c r="K123" s="154">
        <f t="shared" si="32"/>
        <v>0.17980000000000002</v>
      </c>
    </row>
    <row r="124" spans="1:11" ht="13.5" thickBot="1">
      <c r="A124" s="330"/>
      <c r="B124" s="337"/>
      <c r="C124" s="143" t="s">
        <v>64</v>
      </c>
      <c r="D124" s="145">
        <f>WHOLESALE!N127</f>
        <v>0.9904</v>
      </c>
      <c r="E124" s="156">
        <f>ROUND(-INPUT!$B$75*D124,4)</f>
        <v>-0.1337</v>
      </c>
      <c r="F124" s="156">
        <f t="shared" si="30"/>
        <v>0.8566999999999999</v>
      </c>
      <c r="G124" s="156">
        <f>INPUT!E$111</f>
        <v>0</v>
      </c>
      <c r="H124" s="216">
        <f>ROUND((G124+E124+D124)/(1-INPUT!$B$79)-(G124+E124+D124),4)</f>
        <v>0.0238</v>
      </c>
      <c r="I124" s="217">
        <f t="shared" si="31"/>
        <v>0.9954</v>
      </c>
      <c r="J124" s="241"/>
      <c r="K124" s="218">
        <f t="shared" si="32"/>
        <v>0.9954</v>
      </c>
    </row>
    <row r="125" spans="3:11" ht="14.25" thickBot="1" thickTop="1">
      <c r="C125" s="125"/>
      <c r="D125" s="9"/>
      <c r="E125" s="138"/>
      <c r="F125" s="138"/>
      <c r="G125" s="138"/>
      <c r="H125" s="220"/>
      <c r="I125" s="220"/>
      <c r="J125" s="220"/>
      <c r="K125" s="221"/>
    </row>
    <row r="126" spans="1:11" ht="14.25" thickBot="1" thickTop="1">
      <c r="A126" s="334" t="s">
        <v>203</v>
      </c>
      <c r="B126" s="335" t="s">
        <v>201</v>
      </c>
      <c r="C126" s="143" t="s">
        <v>41</v>
      </c>
      <c r="D126" s="144">
        <f>WHOLESALE!N129</f>
        <v>1.4375</v>
      </c>
      <c r="E126" s="151">
        <f>ROUND(-INPUT!$B$75*D126,4)</f>
        <v>-0.1941</v>
      </c>
      <c r="F126" s="151">
        <f aca="true" t="shared" si="33" ref="F126:F133">$D126+E126</f>
        <v>1.2434</v>
      </c>
      <c r="G126" s="151">
        <f>INPUT!E$104</f>
        <v>0</v>
      </c>
      <c r="H126" s="151">
        <f>ROUND((G126+E126+D126)/(1-INPUT!$B$79)-(G126+E126+D126),4)</f>
        <v>0.0345</v>
      </c>
      <c r="I126" s="212">
        <f aca="true" t="shared" si="34" ref="I126:I133">IF(ROUND(F126+G126+H126,2)&gt;D126,ROUND(F126+G126+H126,2),0.005+D126)</f>
        <v>1.4425</v>
      </c>
      <c r="J126" s="237"/>
      <c r="K126" s="152">
        <f>I126-J126</f>
        <v>1.4425</v>
      </c>
    </row>
    <row r="127" spans="1:11" ht="13.5" thickBot="1">
      <c r="A127" s="329"/>
      <c r="B127" s="336"/>
      <c r="C127" s="143" t="s">
        <v>10</v>
      </c>
      <c r="D127" s="142">
        <f>WHOLESALE!N130</f>
        <v>0.7836</v>
      </c>
      <c r="E127" s="153">
        <f>ROUND(-INPUT!$B$75*D127,4)</f>
        <v>-0.1058</v>
      </c>
      <c r="F127" s="153">
        <f t="shared" si="33"/>
        <v>0.6778</v>
      </c>
      <c r="G127" s="155">
        <f>INPUT!E$105</f>
        <v>0</v>
      </c>
      <c r="H127" s="155">
        <f>ROUND((G127+E127+D127)/(1-INPUT!$B$79)-(G127+E127+D127),4)</f>
        <v>0.0188</v>
      </c>
      <c r="I127" s="213">
        <f t="shared" si="34"/>
        <v>0.7886</v>
      </c>
      <c r="J127" s="238"/>
      <c r="K127" s="154">
        <f aca="true" t="shared" si="35" ref="K127:K133">I127-J127</f>
        <v>0.7886</v>
      </c>
    </row>
    <row r="128" spans="1:11" ht="13.5" thickBot="1">
      <c r="A128" s="329"/>
      <c r="B128" s="336"/>
      <c r="C128" s="143" t="s">
        <v>11</v>
      </c>
      <c r="D128" s="142">
        <f>WHOLESALE!N131</f>
        <v>0.4332</v>
      </c>
      <c r="E128" s="153">
        <f>ROUND(-INPUT!$B$75*D128,4)</f>
        <v>-0.0585</v>
      </c>
      <c r="F128" s="153">
        <f t="shared" si="33"/>
        <v>0.3747</v>
      </c>
      <c r="G128" s="153">
        <f>INPUT!E$106</f>
        <v>0</v>
      </c>
      <c r="H128" s="153">
        <f>ROUND((G128+E128+D128)/(1-INPUT!$B$79)-(G128+E128+D128),4)</f>
        <v>0.0104</v>
      </c>
      <c r="I128" s="214">
        <f t="shared" si="34"/>
        <v>0.4382</v>
      </c>
      <c r="J128" s="239"/>
      <c r="K128" s="154">
        <f t="shared" si="35"/>
        <v>0.4382</v>
      </c>
    </row>
    <row r="129" spans="1:11" ht="13.5" thickBot="1">
      <c r="A129" s="329"/>
      <c r="B129" s="336"/>
      <c r="C129" s="143" t="s">
        <v>212</v>
      </c>
      <c r="D129" s="142">
        <f>WHOLESALE!N132</f>
        <v>0.341</v>
      </c>
      <c r="E129" s="153">
        <f>ROUND(-INPUT!$B$75*D129,4)</f>
        <v>-0.046</v>
      </c>
      <c r="F129" s="153">
        <f t="shared" si="33"/>
        <v>0.29500000000000004</v>
      </c>
      <c r="G129" s="153">
        <f>INPUT!E$107</f>
        <v>0</v>
      </c>
      <c r="H129" s="153">
        <f>ROUND((G129+E129+D129)/(1-INPUT!$B$79)-(G129+E129+D129),4)</f>
        <v>0.0082</v>
      </c>
      <c r="I129" s="213">
        <f t="shared" si="34"/>
        <v>0.34600000000000003</v>
      </c>
      <c r="J129" s="239"/>
      <c r="K129" s="154"/>
    </row>
    <row r="130" spans="1:11" ht="13.5" thickBot="1">
      <c r="A130" s="329"/>
      <c r="B130" s="336"/>
      <c r="C130" s="143" t="s">
        <v>42</v>
      </c>
      <c r="D130" s="142">
        <f>WHOLESALE!N133</f>
        <v>0.3184</v>
      </c>
      <c r="E130" s="153">
        <f>ROUND(-INPUT!$B$75*D130,4)</f>
        <v>-0.043</v>
      </c>
      <c r="F130" s="153">
        <f t="shared" si="33"/>
        <v>0.27540000000000003</v>
      </c>
      <c r="G130" s="153">
        <f>INPUT!E$108</f>
        <v>0</v>
      </c>
      <c r="H130" s="153">
        <f>ROUND((G130+E130+D130)/(1-INPUT!$B$79)-(G130+E130+D130),4)</f>
        <v>0.0076</v>
      </c>
      <c r="I130" s="213">
        <f t="shared" si="34"/>
        <v>0.3234</v>
      </c>
      <c r="J130" s="238"/>
      <c r="K130" s="154">
        <f t="shared" si="35"/>
        <v>0.3234</v>
      </c>
    </row>
    <row r="131" spans="1:11" ht="13.5" thickBot="1">
      <c r="A131" s="329"/>
      <c r="B131" s="336"/>
      <c r="C131" s="143" t="s">
        <v>43</v>
      </c>
      <c r="D131" s="142">
        <f>WHOLESALE!N134</f>
        <v>0.2094</v>
      </c>
      <c r="E131" s="153">
        <f>ROUND(-INPUT!$B$75*D131,4)</f>
        <v>-0.0283</v>
      </c>
      <c r="F131" s="153">
        <f t="shared" si="33"/>
        <v>0.1811</v>
      </c>
      <c r="G131" s="153">
        <f>INPUT!E$109</f>
        <v>0</v>
      </c>
      <c r="H131" s="153">
        <f>ROUND((G131+E131+D131)/(1-INPUT!$B$79)-(G131+E131+D131),4)</f>
        <v>0.005</v>
      </c>
      <c r="I131" s="213">
        <f t="shared" si="34"/>
        <v>0.2144</v>
      </c>
      <c r="J131" s="238"/>
      <c r="K131" s="154">
        <f t="shared" si="35"/>
        <v>0.2144</v>
      </c>
    </row>
    <row r="132" spans="1:11" ht="13.5" thickBot="1">
      <c r="A132" s="329"/>
      <c r="B132" s="336"/>
      <c r="C132" s="143" t="s">
        <v>44</v>
      </c>
      <c r="D132" s="142">
        <f>WHOLESALE!N135</f>
        <v>0.1748</v>
      </c>
      <c r="E132" s="153">
        <f>ROUND(-INPUT!$B$75*D132,4)</f>
        <v>-0.0236</v>
      </c>
      <c r="F132" s="153">
        <f t="shared" si="33"/>
        <v>0.1512</v>
      </c>
      <c r="G132" s="153">
        <f>INPUT!E$110</f>
        <v>0</v>
      </c>
      <c r="H132" s="153">
        <f>ROUND((G132+E132+D132)/(1-INPUT!$B$79)-(G132+E132+D132),4)</f>
        <v>0.0042</v>
      </c>
      <c r="I132" s="213">
        <f t="shared" si="34"/>
        <v>0.17980000000000002</v>
      </c>
      <c r="J132" s="238"/>
      <c r="K132" s="154">
        <f t="shared" si="35"/>
        <v>0.17980000000000002</v>
      </c>
    </row>
    <row r="133" spans="1:11" ht="13.5" thickBot="1">
      <c r="A133" s="330"/>
      <c r="B133" s="337"/>
      <c r="C133" s="143" t="s">
        <v>64</v>
      </c>
      <c r="D133" s="145">
        <f>WHOLESALE!N136</f>
        <v>0.9904</v>
      </c>
      <c r="E133" s="156">
        <f>ROUND(-INPUT!$B$75*D133,4)</f>
        <v>-0.1337</v>
      </c>
      <c r="F133" s="156">
        <f t="shared" si="33"/>
        <v>0.8566999999999999</v>
      </c>
      <c r="G133" s="156">
        <f>INPUT!E$111</f>
        <v>0</v>
      </c>
      <c r="H133" s="156">
        <f>ROUND((G133+E133+D133)/(1-INPUT!$B$79)-(G133+E133+D133),4)</f>
        <v>0.0238</v>
      </c>
      <c r="I133" s="217">
        <f t="shared" si="34"/>
        <v>0.9954</v>
      </c>
      <c r="J133" s="241"/>
      <c r="K133" s="218">
        <f t="shared" si="35"/>
        <v>0.9954</v>
      </c>
    </row>
    <row r="134" spans="3:11" ht="14.25" thickBot="1" thickTop="1">
      <c r="C134" s="125"/>
      <c r="D134" s="9"/>
      <c r="E134" s="138"/>
      <c r="F134" s="138"/>
      <c r="G134" s="138"/>
      <c r="H134" s="138"/>
      <c r="I134" s="220"/>
      <c r="J134" s="220"/>
      <c r="K134" s="221"/>
    </row>
    <row r="135" spans="1:11" ht="14.25" thickBot="1" thickTop="1">
      <c r="A135" s="334" t="s">
        <v>51</v>
      </c>
      <c r="B135" s="335"/>
      <c r="C135" s="143" t="s">
        <v>41</v>
      </c>
      <c r="D135" s="144">
        <f>WHOLESALE!N138</f>
        <v>2.4624</v>
      </c>
      <c r="E135" s="151">
        <f>ROUND(-INPUT!$B$75*D135,4)</f>
        <v>-0.3324</v>
      </c>
      <c r="F135" s="151">
        <f aca="true" t="shared" si="36" ref="F135:F142">$D135+E135</f>
        <v>2.1300000000000003</v>
      </c>
      <c r="G135" s="151">
        <f>INPUT!E$104</f>
        <v>0</v>
      </c>
      <c r="H135" s="151">
        <f>ROUND((G135+E135+D135)/(1-INPUT!$B$79)-(G135+E135+D135),4)</f>
        <v>0.0591</v>
      </c>
      <c r="I135" s="212">
        <f aca="true" t="shared" si="37" ref="I135:I142">IF(ROUND(F135+G135+H135,2)&gt;D135,ROUND(F135+G135+H135,2),0.005+D135)</f>
        <v>2.4674</v>
      </c>
      <c r="J135" s="237"/>
      <c r="K135" s="152">
        <f>I135-J135</f>
        <v>2.4674</v>
      </c>
    </row>
    <row r="136" spans="1:11" ht="13.5" thickBot="1">
      <c r="A136" s="329"/>
      <c r="B136" s="336"/>
      <c r="C136" s="143" t="s">
        <v>10</v>
      </c>
      <c r="D136" s="142">
        <f>WHOLESALE!N139</f>
        <v>1.296</v>
      </c>
      <c r="E136" s="153">
        <f>ROUND(-INPUT!$B$75*D136,4)</f>
        <v>-0.175</v>
      </c>
      <c r="F136" s="153">
        <f t="shared" si="36"/>
        <v>1.121</v>
      </c>
      <c r="G136" s="155">
        <f>INPUT!E$105</f>
        <v>0</v>
      </c>
      <c r="H136" s="155">
        <f>ROUND((G136+E136+D136)/(1-INPUT!$B$79)-(G136+E136+D136),4)</f>
        <v>0.0311</v>
      </c>
      <c r="I136" s="213">
        <f t="shared" si="37"/>
        <v>1.301</v>
      </c>
      <c r="J136" s="238"/>
      <c r="K136" s="154">
        <f aca="true" t="shared" si="38" ref="K136:K142">I136-J136</f>
        <v>1.301</v>
      </c>
    </row>
    <row r="137" spans="1:11" ht="13.5" thickBot="1">
      <c r="A137" s="329"/>
      <c r="B137" s="336"/>
      <c r="C137" s="143" t="s">
        <v>11</v>
      </c>
      <c r="D137" s="142">
        <f>WHOLESALE!N140</f>
        <v>0.6895</v>
      </c>
      <c r="E137" s="153">
        <f>ROUND(-INPUT!$B$75*D137,4)</f>
        <v>-0.0931</v>
      </c>
      <c r="F137" s="153">
        <f t="shared" si="36"/>
        <v>0.5964</v>
      </c>
      <c r="G137" s="153">
        <f>INPUT!E$106</f>
        <v>0</v>
      </c>
      <c r="H137" s="153">
        <f>ROUND((G137+E137+D137)/(1-INPUT!$B$79)-(G137+E137+D137),4)</f>
        <v>0.0165</v>
      </c>
      <c r="I137" s="214">
        <f t="shared" si="37"/>
        <v>0.6945</v>
      </c>
      <c r="J137" s="239"/>
      <c r="K137" s="154">
        <f t="shared" si="38"/>
        <v>0.6945</v>
      </c>
    </row>
    <row r="138" spans="1:11" ht="13.5" thickBot="1">
      <c r="A138" s="329"/>
      <c r="B138" s="336"/>
      <c r="C138" s="143" t="s">
        <v>212</v>
      </c>
      <c r="D138" s="142">
        <f>WHOLESALE!N141</f>
        <v>0.4678</v>
      </c>
      <c r="E138" s="153">
        <f>ROUND(-INPUT!$B$75*D138,4)</f>
        <v>-0.0632</v>
      </c>
      <c r="F138" s="153">
        <f t="shared" si="36"/>
        <v>0.40459999999999996</v>
      </c>
      <c r="G138" s="153">
        <f>INPUT!E$107</f>
        <v>0</v>
      </c>
      <c r="H138" s="153">
        <f>ROUND((G138+E138+D138)/(1-INPUT!$B$79)-(G138+E138+D138),4)</f>
        <v>0.0112</v>
      </c>
      <c r="I138" s="213">
        <f t="shared" si="37"/>
        <v>0.4728</v>
      </c>
      <c r="J138" s="239"/>
      <c r="K138" s="154"/>
    </row>
    <row r="139" spans="1:11" ht="13.5" thickBot="1">
      <c r="A139" s="329"/>
      <c r="B139" s="336"/>
      <c r="C139" s="143" t="s">
        <v>42</v>
      </c>
      <c r="D139" s="142">
        <f>WHOLESALE!N142</f>
        <v>0.3899</v>
      </c>
      <c r="E139" s="153">
        <f>ROUND(-INPUT!$B$75*D139,4)</f>
        <v>-0.0526</v>
      </c>
      <c r="F139" s="153">
        <f t="shared" si="36"/>
        <v>0.33730000000000004</v>
      </c>
      <c r="G139" s="153">
        <f>INPUT!E$108</f>
        <v>0</v>
      </c>
      <c r="H139" s="153">
        <f>ROUND((G139+E139+D139)/(1-INPUT!$B$79)-(G139+E139+D139),4)</f>
        <v>0.0094</v>
      </c>
      <c r="I139" s="213">
        <f t="shared" si="37"/>
        <v>0.39490000000000003</v>
      </c>
      <c r="J139" s="238"/>
      <c r="K139" s="154">
        <f t="shared" si="38"/>
        <v>0.39490000000000003</v>
      </c>
    </row>
    <row r="140" spans="1:11" ht="13.5" thickBot="1">
      <c r="A140" s="329"/>
      <c r="B140" s="336"/>
      <c r="C140" s="143" t="s">
        <v>43</v>
      </c>
      <c r="D140" s="142">
        <f>WHOLESALE!N143</f>
        <v>0.3375</v>
      </c>
      <c r="E140" s="153">
        <f>ROUND(-INPUT!$B$75*D140,4)</f>
        <v>-0.0456</v>
      </c>
      <c r="F140" s="153">
        <f t="shared" si="36"/>
        <v>0.29190000000000005</v>
      </c>
      <c r="G140" s="153">
        <f>INPUT!E$109</f>
        <v>0</v>
      </c>
      <c r="H140" s="153">
        <f>ROUND((G140+E140+D140)/(1-INPUT!$B$79)-(G140+E140+D140),4)</f>
        <v>0.0081</v>
      </c>
      <c r="I140" s="213">
        <f t="shared" si="37"/>
        <v>0.3425</v>
      </c>
      <c r="J140" s="238"/>
      <c r="K140" s="154">
        <f t="shared" si="38"/>
        <v>0.3425</v>
      </c>
    </row>
    <row r="141" spans="1:11" ht="13.5" thickBot="1">
      <c r="A141" s="329"/>
      <c r="B141" s="336"/>
      <c r="C141" s="143" t="s">
        <v>44</v>
      </c>
      <c r="D141" s="142">
        <f>WHOLESALE!N144</f>
        <v>0.1988</v>
      </c>
      <c r="E141" s="153">
        <f>ROUND(-INPUT!$B$75*D141,4)</f>
        <v>-0.0268</v>
      </c>
      <c r="F141" s="153">
        <f t="shared" si="36"/>
        <v>0.17200000000000001</v>
      </c>
      <c r="G141" s="153">
        <f>INPUT!E$110</f>
        <v>0</v>
      </c>
      <c r="H141" s="153">
        <f>ROUND((G141+E141+D141)/(1-INPUT!$B$79)-(G141+E141+D141),4)</f>
        <v>0.0048</v>
      </c>
      <c r="I141" s="213">
        <f t="shared" si="37"/>
        <v>0.2038</v>
      </c>
      <c r="J141" s="238"/>
      <c r="K141" s="154">
        <f t="shared" si="38"/>
        <v>0.2038</v>
      </c>
    </row>
    <row r="142" spans="1:11" ht="13.5" thickBot="1">
      <c r="A142" s="330"/>
      <c r="B142" s="337"/>
      <c r="C142" s="143" t="s">
        <v>64</v>
      </c>
      <c r="D142" s="145">
        <f>WHOLESALE!N145</f>
        <v>1.4219</v>
      </c>
      <c r="E142" s="156">
        <f>ROUND(-INPUT!$B$75*D142,4)</f>
        <v>-0.192</v>
      </c>
      <c r="F142" s="156">
        <f t="shared" si="36"/>
        <v>1.2299</v>
      </c>
      <c r="G142" s="156">
        <f>INPUT!E$111</f>
        <v>0</v>
      </c>
      <c r="H142" s="156">
        <f>ROUND((G142+E142+D142)/(1-INPUT!$B$79)-(G142+E142+D142),4)</f>
        <v>0.0341</v>
      </c>
      <c r="I142" s="215">
        <f t="shared" si="37"/>
        <v>1.4268999999999998</v>
      </c>
      <c r="J142" s="240"/>
      <c r="K142" s="157">
        <f t="shared" si="38"/>
        <v>1.4268999999999998</v>
      </c>
    </row>
    <row r="143" spans="5:9" ht="13.5" thickTop="1">
      <c r="E143" s="158"/>
      <c r="F143" s="158"/>
      <c r="G143" s="158"/>
      <c r="H143" s="158"/>
      <c r="I143" s="158"/>
    </row>
    <row r="144" spans="5:9" ht="12.75">
      <c r="E144" s="158"/>
      <c r="F144" s="158"/>
      <c r="G144" s="158"/>
      <c r="H144" s="158"/>
      <c r="I144" s="158"/>
    </row>
    <row r="145" spans="5:9" ht="12.75">
      <c r="E145" s="158"/>
      <c r="F145" s="158"/>
      <c r="G145" s="158"/>
      <c r="H145" s="158"/>
      <c r="I145" s="158"/>
    </row>
    <row r="146" spans="5:9" ht="12.75">
      <c r="E146" s="158"/>
      <c r="F146" s="158"/>
      <c r="G146" s="158"/>
      <c r="H146" s="158"/>
      <c r="I146" s="158"/>
    </row>
    <row r="147" spans="5:9" ht="12.75">
      <c r="E147" s="158"/>
      <c r="F147" s="158"/>
      <c r="G147" s="158"/>
      <c r="H147" s="158"/>
      <c r="I147" s="158"/>
    </row>
    <row r="148" spans="5:9" ht="12.75">
      <c r="E148" s="158"/>
      <c r="F148" s="158"/>
      <c r="G148" s="158"/>
      <c r="H148" s="158"/>
      <c r="I148" s="158"/>
    </row>
    <row r="149" spans="5:9" ht="12.75">
      <c r="E149" s="158"/>
      <c r="F149" s="158"/>
      <c r="G149" s="158"/>
      <c r="H149" s="158"/>
      <c r="I149" s="158"/>
    </row>
    <row r="150" spans="5:9" ht="12.75">
      <c r="E150" s="158"/>
      <c r="F150" s="158"/>
      <c r="G150" s="158"/>
      <c r="H150" s="158"/>
      <c r="I150" s="158"/>
    </row>
    <row r="151" spans="5:9" ht="12.75">
      <c r="E151" s="158"/>
      <c r="F151" s="158"/>
      <c r="G151" s="158"/>
      <c r="H151" s="158"/>
      <c r="I151" s="158"/>
    </row>
    <row r="152" spans="5:9" ht="12.75">
      <c r="E152" s="158"/>
      <c r="F152" s="158"/>
      <c r="G152" s="158"/>
      <c r="H152" s="158"/>
      <c r="I152" s="158"/>
    </row>
    <row r="153" spans="5:9" ht="12.75">
      <c r="E153" s="158"/>
      <c r="F153" s="158"/>
      <c r="G153" s="158"/>
      <c r="H153" s="158"/>
      <c r="I153" s="158"/>
    </row>
    <row r="154" spans="5:9" ht="12.75">
      <c r="E154" s="158"/>
      <c r="F154" s="158"/>
      <c r="G154" s="158"/>
      <c r="H154" s="158"/>
      <c r="I154" s="158"/>
    </row>
    <row r="155" spans="5:9" ht="12.75">
      <c r="E155" s="158"/>
      <c r="F155" s="158"/>
      <c r="G155" s="158"/>
      <c r="H155" s="158"/>
      <c r="I155" s="158"/>
    </row>
    <row r="156" spans="3:9" ht="15.75">
      <c r="C156" s="123">
        <f ca="1">NOW()</f>
        <v>45310.61902488426</v>
      </c>
      <c r="E156" s="158"/>
      <c r="F156" s="158"/>
      <c r="G156" s="158"/>
      <c r="H156" s="158"/>
      <c r="I156" s="158"/>
    </row>
    <row r="157" spans="5:9" ht="12.75">
      <c r="E157" s="158"/>
      <c r="F157" s="158"/>
      <c r="G157" s="158"/>
      <c r="H157" s="158"/>
      <c r="I157" s="158"/>
    </row>
  </sheetData>
  <sheetProtection/>
  <mergeCells count="24">
    <mergeCell ref="A135:B142"/>
    <mergeCell ref="A99:B106"/>
    <mergeCell ref="A117:A124"/>
    <mergeCell ref="B117:B124"/>
    <mergeCell ref="A126:A133"/>
    <mergeCell ref="B126:B133"/>
    <mergeCell ref="A79:B87"/>
    <mergeCell ref="A89:B97"/>
    <mergeCell ref="A108:A115"/>
    <mergeCell ref="B108:B115"/>
    <mergeCell ref="A49:A57"/>
    <mergeCell ref="B49:B57"/>
    <mergeCell ref="A59:A67"/>
    <mergeCell ref="B59:B67"/>
    <mergeCell ref="A69:A77"/>
    <mergeCell ref="B69:B77"/>
    <mergeCell ref="A29:A37"/>
    <mergeCell ref="B29:B37"/>
    <mergeCell ref="A39:A47"/>
    <mergeCell ref="B39:B47"/>
    <mergeCell ref="A9:A17"/>
    <mergeCell ref="B9:B17"/>
    <mergeCell ref="A19:A27"/>
    <mergeCell ref="B19:B27"/>
  </mergeCells>
  <printOptions horizontalCentered="1"/>
  <pageMargins left="0.25" right="0.25" top="0.25" bottom="0.25" header="0.5" footer="0.5"/>
  <pageSetup fitToHeight="0" horizontalDpi="600" verticalDpi="600" orientation="landscape" r:id="rId1"/>
  <rowBreaks count="1" manualBreakCount="1">
    <brk id="77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60" zoomScaleNormal="60" zoomScalePageLayoutView="0" workbookViewId="0" topLeftCell="A10">
      <selection activeCell="F46" sqref="F46"/>
    </sheetView>
  </sheetViews>
  <sheetFormatPr defaultColWidth="9.140625" defaultRowHeight="12.75"/>
  <cols>
    <col min="1" max="1" width="40.28125" style="0" customWidth="1"/>
    <col min="2" max="2" width="12.7109375" style="0" customWidth="1"/>
    <col min="5" max="5" width="10.140625" style="0" customWidth="1"/>
  </cols>
  <sheetData>
    <row r="1" spans="1:12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>
      <c r="A3" s="20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>
      <c r="A4" s="20" t="s">
        <v>65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20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5.25" thickBot="1">
      <c r="A6" s="98">
        <f>INPUT!B3</f>
        <v>0</v>
      </c>
      <c r="B6" s="21"/>
      <c r="C6" s="21"/>
      <c r="D6" s="108" t="s">
        <v>132</v>
      </c>
      <c r="E6" s="22"/>
      <c r="F6" s="23"/>
      <c r="G6" s="10"/>
      <c r="H6" s="10"/>
      <c r="I6" s="57" t="s">
        <v>133</v>
      </c>
      <c r="J6" s="22"/>
      <c r="K6" s="23"/>
      <c r="L6" s="23"/>
    </row>
    <row r="7" spans="1:12" ht="15.75" thickBot="1" thickTop="1">
      <c r="A7" s="11"/>
      <c r="B7" s="11"/>
      <c r="C7" s="12" t="s">
        <v>67</v>
      </c>
      <c r="D7" s="13"/>
      <c r="E7" s="14" t="s">
        <v>68</v>
      </c>
      <c r="F7" s="15" t="s">
        <v>69</v>
      </c>
      <c r="G7" s="16"/>
      <c r="H7" s="16"/>
      <c r="I7" s="16"/>
      <c r="J7" s="16"/>
      <c r="K7" s="16"/>
      <c r="L7" s="17"/>
    </row>
    <row r="8" spans="1:12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/>
    </row>
    <row r="9" spans="1:12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30" t="s">
        <v>82</v>
      </c>
      <c r="K9" s="30" t="s">
        <v>74</v>
      </c>
      <c r="L9" s="30" t="s">
        <v>84</v>
      </c>
    </row>
    <row r="10" spans="1:12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5">
      <c r="A11" s="34" t="s">
        <v>85</v>
      </c>
      <c r="B11" s="35">
        <v>400</v>
      </c>
      <c r="C11" s="36">
        <v>3.1</v>
      </c>
      <c r="D11" s="36">
        <v>6</v>
      </c>
      <c r="E11" s="37">
        <f>WHOLESALE!N17</f>
        <v>0.7858</v>
      </c>
      <c r="F11" s="37">
        <f>WHOLESALE!N9</f>
        <v>2.0119</v>
      </c>
      <c r="G11" s="37">
        <f>WHOLESALE!N10</f>
        <v>1.0284</v>
      </c>
      <c r="H11" s="37">
        <f>WHOLESALE!N11</f>
        <v>0.579</v>
      </c>
      <c r="I11" s="37">
        <f>WHOLESALE!N12</f>
        <v>0.331</v>
      </c>
      <c r="J11" s="37">
        <f>WHOLESALE!N14</f>
        <v>0.2545</v>
      </c>
      <c r="K11" s="37">
        <f>WHOLESALE!N15</f>
        <v>0.1582</v>
      </c>
      <c r="L11" s="38">
        <f>WHOLESALE!N16</f>
        <v>0.1492</v>
      </c>
    </row>
    <row r="12" spans="1:12" ht="15">
      <c r="A12" s="3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3"/>
    </row>
    <row r="13" spans="1:12" ht="15">
      <c r="A13" s="44" t="s">
        <v>28</v>
      </c>
      <c r="B13" s="45">
        <v>800</v>
      </c>
      <c r="C13" s="46">
        <v>1.5</v>
      </c>
      <c r="D13" s="46">
        <v>3.09</v>
      </c>
      <c r="E13" s="47">
        <f>WHOLESALE!N27</f>
        <v>0.7861</v>
      </c>
      <c r="F13" s="47">
        <f>WHOLESALE!N19</f>
        <v>2.0128</v>
      </c>
      <c r="G13" s="47">
        <f>WHOLESALE!N20</f>
        <v>1.0288</v>
      </c>
      <c r="H13" s="47">
        <f>WHOLESALE!N21</f>
        <v>0.5792</v>
      </c>
      <c r="I13" s="47">
        <f>WHOLESALE!N22</f>
        <v>0.3311</v>
      </c>
      <c r="J13" s="47">
        <f>WHOLESALE!N24</f>
        <v>0.2545</v>
      </c>
      <c r="K13" s="47">
        <f>WHOLESALE!N25</f>
        <v>0.1583</v>
      </c>
      <c r="L13" s="48">
        <f>WHOLESALE!N26</f>
        <v>0.1493</v>
      </c>
    </row>
    <row r="14" spans="1:12" ht="15">
      <c r="A14" s="34" t="s">
        <v>86</v>
      </c>
      <c r="B14" s="35">
        <v>900</v>
      </c>
      <c r="C14" s="36">
        <v>0.5</v>
      </c>
      <c r="D14" s="36">
        <v>1.49</v>
      </c>
      <c r="E14" s="37">
        <f>WHOLESALE!N37</f>
        <v>0.7861</v>
      </c>
      <c r="F14" s="37">
        <f>WHOLESALE!N29</f>
        <v>2.0128</v>
      </c>
      <c r="G14" s="37">
        <f>WHOLESALE!N30</f>
        <v>1.0288</v>
      </c>
      <c r="H14" s="37">
        <f>WHOLESALE!N31</f>
        <v>0.5792</v>
      </c>
      <c r="I14" s="37">
        <f>WHOLESALE!N32</f>
        <v>0.3311</v>
      </c>
      <c r="J14" s="37">
        <f>WHOLESALE!N34</f>
        <v>0.2545</v>
      </c>
      <c r="K14" s="37">
        <f>WHOLESALE!N35</f>
        <v>0.1583</v>
      </c>
      <c r="L14" s="38">
        <f>WHOLESALE!N36</f>
        <v>0.1493</v>
      </c>
    </row>
    <row r="15" spans="1:12" ht="15">
      <c r="A15" s="39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3"/>
    </row>
    <row r="16" spans="1:12" ht="15">
      <c r="A16" s="34" t="s">
        <v>30</v>
      </c>
      <c r="B16" s="35">
        <v>1200</v>
      </c>
      <c r="C16" s="36">
        <v>0</v>
      </c>
      <c r="D16" s="36">
        <v>0.49</v>
      </c>
      <c r="E16" s="37">
        <f>WHOLESALE!N47</f>
        <v>0.7861</v>
      </c>
      <c r="F16" s="37">
        <f>WHOLESALE!N39</f>
        <v>2.0128</v>
      </c>
      <c r="G16" s="37">
        <f>WHOLESALE!N40</f>
        <v>1.0288</v>
      </c>
      <c r="H16" s="37">
        <f>WHOLESALE!N41</f>
        <v>0.5792</v>
      </c>
      <c r="I16" s="37">
        <f>WHOLESALE!N42</f>
        <v>0.3311</v>
      </c>
      <c r="J16" s="37">
        <f>WHOLESALE!N44</f>
        <v>0.2545</v>
      </c>
      <c r="K16" s="37">
        <f>WHOLESALE!N45</f>
        <v>0.1583</v>
      </c>
      <c r="L16" s="38">
        <f>WHOLESALE!N46</f>
        <v>0.1493</v>
      </c>
    </row>
    <row r="17" spans="1:12" ht="15">
      <c r="A17" s="39"/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3"/>
    </row>
    <row r="18" spans="1:12" ht="15">
      <c r="A18" s="44" t="s">
        <v>15</v>
      </c>
      <c r="B18" s="45">
        <v>500</v>
      </c>
      <c r="C18" s="46">
        <v>3.1</v>
      </c>
      <c r="D18" s="46">
        <v>6</v>
      </c>
      <c r="E18" s="47">
        <f>WHOLESALE!N57</f>
        <v>0.7856</v>
      </c>
      <c r="F18" s="47">
        <f>WHOLESALE!N49</f>
        <v>2.0111</v>
      </c>
      <c r="G18" s="47">
        <f>WHOLESALE!N50</f>
        <v>1.028</v>
      </c>
      <c r="H18" s="47">
        <f>WHOLESALE!N51</f>
        <v>0.5788</v>
      </c>
      <c r="I18" s="47">
        <f>WHOLESALE!N52</f>
        <v>0.3309</v>
      </c>
      <c r="J18" s="47">
        <f>WHOLESALE!N54</f>
        <v>0.2544</v>
      </c>
      <c r="K18" s="47">
        <f>WHOLESALE!N55</f>
        <v>0.1582</v>
      </c>
      <c r="L18" s="48">
        <f>WHOLESALE!N56</f>
        <v>0.1492</v>
      </c>
    </row>
    <row r="19" spans="1:12" ht="15">
      <c r="A19" s="34" t="s">
        <v>31</v>
      </c>
      <c r="B19" s="35">
        <v>600</v>
      </c>
      <c r="C19" s="36">
        <v>0</v>
      </c>
      <c r="D19" s="36">
        <v>3.09</v>
      </c>
      <c r="E19" s="37">
        <f>WHOLESALE!N67</f>
        <v>0.7856</v>
      </c>
      <c r="F19" s="37">
        <f>WHOLESALE!N59</f>
        <v>2.0111</v>
      </c>
      <c r="G19" s="37">
        <f>WHOLESALE!N60</f>
        <v>1.028</v>
      </c>
      <c r="H19" s="37">
        <f>WHOLESALE!N61</f>
        <v>0.5788</v>
      </c>
      <c r="I19" s="37">
        <f>WHOLESALE!N62</f>
        <v>0.3309</v>
      </c>
      <c r="J19" s="37">
        <f>WHOLESALE!N64</f>
        <v>0.2544</v>
      </c>
      <c r="K19" s="37">
        <f>WHOLESALE!N65</f>
        <v>0.1582</v>
      </c>
      <c r="L19" s="38">
        <f>WHOLESALE!N66</f>
        <v>0.1492</v>
      </c>
    </row>
    <row r="20" spans="1:12" ht="15">
      <c r="A20" s="39"/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3"/>
    </row>
    <row r="21" spans="1:12" ht="15">
      <c r="A21" s="34" t="s">
        <v>16</v>
      </c>
      <c r="B21" s="35">
        <v>1000</v>
      </c>
      <c r="C21" s="36">
        <v>0</v>
      </c>
      <c r="D21" s="36">
        <v>6</v>
      </c>
      <c r="E21" s="37">
        <f>WHOLESALE!N87</f>
        <v>0.8587</v>
      </c>
      <c r="F21" s="37">
        <f>WHOLESALE!N79</f>
        <v>2.3031</v>
      </c>
      <c r="G21" s="37">
        <f>WHOLESALE!N80</f>
        <v>1.174</v>
      </c>
      <c r="H21" s="37">
        <f>WHOLESALE!N81</f>
        <v>0.6519</v>
      </c>
      <c r="I21" s="37">
        <f>WHOLESALE!N82</f>
        <v>0.3673</v>
      </c>
      <c r="J21" s="37">
        <f>WHOLESALE!N84</f>
        <v>0.2772</v>
      </c>
      <c r="K21" s="37">
        <f>WHOLESALE!N85</f>
        <v>0.1765</v>
      </c>
      <c r="L21" s="38">
        <f>WHOLESALE!N86</f>
        <v>0.1583</v>
      </c>
    </row>
    <row r="22" spans="1:12" ht="15">
      <c r="A22" s="39"/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3"/>
    </row>
    <row r="23" spans="1:12" ht="15">
      <c r="A23" s="34" t="s">
        <v>87</v>
      </c>
      <c r="B23" s="35">
        <v>1500</v>
      </c>
      <c r="C23" s="36">
        <v>6.01</v>
      </c>
      <c r="D23" s="36">
        <v>17.99</v>
      </c>
      <c r="E23" s="37">
        <f>WHOLESALE!N106</f>
        <v>0.9879</v>
      </c>
      <c r="F23" s="37"/>
      <c r="G23" s="37">
        <f>WHOLESALE!N99</f>
        <v>1.4325</v>
      </c>
      <c r="H23" s="37">
        <f>WHOLESALE!N100</f>
        <v>0.7811</v>
      </c>
      <c r="I23" s="37">
        <f>WHOLESALE!N101</f>
        <v>0.432</v>
      </c>
      <c r="J23" s="37">
        <f>WHOLESALE!N103</f>
        <v>0.3176</v>
      </c>
      <c r="K23" s="37">
        <f>WHOLESALE!N104</f>
        <v>0.2088</v>
      </c>
      <c r="L23" s="38">
        <f>WHOLESALE!N105</f>
        <v>0.1744</v>
      </c>
    </row>
    <row r="24" spans="1:12" ht="15">
      <c r="A24" s="39"/>
      <c r="B24" s="40"/>
      <c r="C24" s="41"/>
      <c r="D24" s="41"/>
      <c r="E24" s="42"/>
      <c r="F24" s="42"/>
      <c r="G24" s="42"/>
      <c r="H24" s="42"/>
      <c r="I24" s="42"/>
      <c r="J24" s="42"/>
      <c r="K24" s="42"/>
      <c r="L24" s="43"/>
    </row>
    <row r="25" spans="1:12" ht="15">
      <c r="A25" s="44" t="s">
        <v>50</v>
      </c>
      <c r="B25" s="45">
        <v>1700</v>
      </c>
      <c r="C25" s="46">
        <v>18</v>
      </c>
      <c r="D25" s="46">
        <v>29.99</v>
      </c>
      <c r="E25" s="47">
        <f>WHOLESALE!N118</f>
        <v>0.9904</v>
      </c>
      <c r="F25" s="47"/>
      <c r="G25" s="47">
        <f>WHOLESALE!N111</f>
        <v>1.4375</v>
      </c>
      <c r="H25" s="47">
        <f>WHOLESALE!N112</f>
        <v>0.7836</v>
      </c>
      <c r="I25" s="47">
        <f>WHOLESALE!N113</f>
        <v>0.4332</v>
      </c>
      <c r="J25" s="47">
        <f>WHOLESALE!N115</f>
        <v>0.3184</v>
      </c>
      <c r="K25" s="47">
        <f>WHOLESALE!N116</f>
        <v>0.2094</v>
      </c>
      <c r="L25" s="48">
        <f>WHOLESALE!N117</f>
        <v>0.1748</v>
      </c>
    </row>
    <row r="26" spans="1:12" ht="15">
      <c r="A26" s="44" t="s">
        <v>34</v>
      </c>
      <c r="B26" s="45">
        <v>1800</v>
      </c>
      <c r="C26" s="46">
        <v>30</v>
      </c>
      <c r="D26" s="46">
        <v>35.99</v>
      </c>
      <c r="E26" s="47">
        <f>WHOLESALE!N127</f>
        <v>0.9904</v>
      </c>
      <c r="F26" s="47"/>
      <c r="G26" s="47">
        <f>WHOLESALE!N120</f>
        <v>1.4375</v>
      </c>
      <c r="H26" s="47">
        <f>WHOLESALE!N121</f>
        <v>0.7836</v>
      </c>
      <c r="I26" s="47">
        <f>WHOLESALE!N122</f>
        <v>0.4332</v>
      </c>
      <c r="J26" s="47">
        <f>WHOLESALE!N124</f>
        <v>0.3184</v>
      </c>
      <c r="K26" s="47">
        <f>WHOLESALE!N125</f>
        <v>0.2094</v>
      </c>
      <c r="L26" s="48">
        <f>WHOLESALE!N126</f>
        <v>0.1748</v>
      </c>
    </row>
    <row r="27" spans="1:12" ht="15">
      <c r="A27" s="34" t="s">
        <v>35</v>
      </c>
      <c r="B27" s="35">
        <v>1900</v>
      </c>
      <c r="C27" s="36">
        <v>36</v>
      </c>
      <c r="D27" s="36">
        <v>50</v>
      </c>
      <c r="E27" s="37">
        <f>WHOLESALE!N136</f>
        <v>0.9904</v>
      </c>
      <c r="F27" s="37"/>
      <c r="G27" s="37">
        <f>WHOLESALE!N129</f>
        <v>1.4375</v>
      </c>
      <c r="H27" s="37">
        <f>WHOLESALE!N130</f>
        <v>0.7836</v>
      </c>
      <c r="I27" s="37">
        <f>WHOLESALE!N131</f>
        <v>0.4332</v>
      </c>
      <c r="J27" s="37">
        <f>WHOLESALE!N133</f>
        <v>0.3184</v>
      </c>
      <c r="K27" s="37">
        <f>WHOLESALE!N134</f>
        <v>0.2094</v>
      </c>
      <c r="L27" s="38">
        <f>WHOLESALE!N135</f>
        <v>0.1748</v>
      </c>
    </row>
    <row r="28" spans="1:12" ht="15">
      <c r="A28" s="39"/>
      <c r="B28" s="40"/>
      <c r="C28" s="41"/>
      <c r="D28" s="41"/>
      <c r="E28" s="42"/>
      <c r="F28" s="42"/>
      <c r="G28" s="42"/>
      <c r="H28" s="42"/>
      <c r="I28" s="42"/>
      <c r="J28" s="42"/>
      <c r="K28" s="42"/>
      <c r="L28" s="43"/>
    </row>
    <row r="29" spans="1:12" ht="15.75" thickBot="1">
      <c r="A29" s="49" t="s">
        <v>88</v>
      </c>
      <c r="B29" s="50">
        <v>1600</v>
      </c>
      <c r="C29" s="51">
        <v>0</v>
      </c>
      <c r="D29" s="51">
        <v>29.99</v>
      </c>
      <c r="E29" s="52">
        <f>WHOLESALE!N145</f>
        <v>1.4219</v>
      </c>
      <c r="F29" s="52"/>
      <c r="G29" s="52">
        <f>WHOLESALE!N138</f>
        <v>2.4624</v>
      </c>
      <c r="H29" s="52">
        <f>WHOLESALE!N139</f>
        <v>1.296</v>
      </c>
      <c r="I29" s="52">
        <f>WHOLESALE!N140</f>
        <v>0.6895</v>
      </c>
      <c r="J29" s="52">
        <f>WHOLESALE!N142</f>
        <v>0.3899</v>
      </c>
      <c r="K29" s="52">
        <f>WHOLESALE!N143</f>
        <v>0.3375</v>
      </c>
      <c r="L29" s="53">
        <f>WHOLESALE!N144</f>
        <v>0.1988</v>
      </c>
    </row>
    <row r="30" spans="1:12" ht="15.75" thickTop="1">
      <c r="A30" s="54" t="s">
        <v>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 t="s">
        <v>90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 t="s">
        <v>91</v>
      </c>
      <c r="B32" s="54" t="s">
        <v>92</v>
      </c>
      <c r="C32" s="54">
        <f>WHOLESALE!N107</f>
        <v>0.0165</v>
      </c>
      <c r="D32" s="54"/>
      <c r="E32" s="54" t="s">
        <v>93</v>
      </c>
      <c r="F32" s="54">
        <f>WHOLESALE!N108</f>
        <v>0.0222</v>
      </c>
      <c r="G32" s="54"/>
      <c r="H32" s="54" t="s">
        <v>94</v>
      </c>
      <c r="I32" s="54">
        <f>WHOLESALE!N109</f>
        <v>0.0333</v>
      </c>
      <c r="J32" s="54"/>
      <c r="K32" s="54"/>
      <c r="L32" s="54"/>
    </row>
    <row r="33" spans="1:12" ht="15">
      <c r="A33" s="54" t="s">
        <v>95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54" t="s">
        <v>96</v>
      </c>
      <c r="B34" s="54" t="s">
        <v>97</v>
      </c>
      <c r="C34" s="55">
        <f>ROUND(H29*2.1,4)</f>
        <v>2.7216</v>
      </c>
      <c r="D34" s="54" t="s">
        <v>98</v>
      </c>
      <c r="E34" s="54"/>
      <c r="F34" s="54">
        <f>ROUND(H29*4.1,4)</f>
        <v>5.3136</v>
      </c>
      <c r="G34" s="54"/>
      <c r="H34" s="54"/>
      <c r="I34" s="54"/>
      <c r="J34" s="54"/>
      <c r="K34" s="54"/>
      <c r="L34" s="54"/>
    </row>
    <row r="35" ht="15">
      <c r="A35" s="54" t="s">
        <v>99</v>
      </c>
    </row>
    <row r="36" spans="1:12" ht="34.5">
      <c r="A36" s="19" t="str">
        <f>A1</f>
        <v>AREA  2</v>
      </c>
      <c r="B36" s="56"/>
      <c r="C36" s="56"/>
      <c r="D36" s="56"/>
      <c r="E36" s="56"/>
      <c r="F36" s="56"/>
      <c r="G36" s="8"/>
      <c r="H36" s="8"/>
      <c r="I36" s="8"/>
      <c r="J36" s="8"/>
      <c r="K36" s="8"/>
      <c r="L36" s="8"/>
    </row>
    <row r="37" spans="1:12" ht="18">
      <c r="A37" s="20" t="s">
        <v>19</v>
      </c>
      <c r="B37" s="56"/>
      <c r="C37" s="56"/>
      <c r="D37" s="56"/>
      <c r="E37" s="56"/>
      <c r="F37" s="56"/>
      <c r="G37" s="8"/>
      <c r="H37" s="8"/>
      <c r="I37" s="8"/>
      <c r="J37" s="8"/>
      <c r="K37" s="8"/>
      <c r="L37" s="8"/>
    </row>
    <row r="38" spans="1:12" ht="18">
      <c r="A38" s="20" t="str">
        <f>A3</f>
        <v>EAST CENTRAL MILK MARKETING AREA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</row>
    <row r="39" spans="1:12" ht="18">
      <c r="A39" s="20" t="s">
        <v>100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</row>
    <row r="40" spans="1:12" ht="18">
      <c r="A40" s="20" t="s">
        <v>101</v>
      </c>
      <c r="B40" s="56"/>
      <c r="C40" s="56"/>
      <c r="D40" s="56"/>
      <c r="E40" s="56"/>
      <c r="F40" s="56"/>
      <c r="G40" s="8"/>
      <c r="H40" s="8"/>
      <c r="I40" s="8"/>
      <c r="J40" s="8"/>
      <c r="K40" s="8"/>
      <c r="L40" s="8"/>
    </row>
    <row r="41" spans="1:12" ht="35.25" thickBot="1">
      <c r="A41" s="98">
        <f>INPUT!B3</f>
        <v>0</v>
      </c>
      <c r="B41" s="21"/>
      <c r="C41" s="21" t="s">
        <v>102</v>
      </c>
      <c r="D41" s="108" t="str">
        <f>D6</f>
        <v>CRO 1</v>
      </c>
      <c r="E41" s="22"/>
      <c r="F41" s="23"/>
      <c r="G41" s="10"/>
      <c r="H41" s="10"/>
      <c r="I41" s="57" t="str">
        <f>I6</f>
        <v>OGO A-???</v>
      </c>
      <c r="J41" s="22"/>
      <c r="K41" s="23"/>
      <c r="L41" s="23"/>
    </row>
    <row r="42" spans="1:12" ht="16.5" thickBot="1" thickTop="1">
      <c r="A42" s="58"/>
      <c r="B42" s="58"/>
      <c r="C42" s="59" t="s">
        <v>67</v>
      </c>
      <c r="D42" s="60"/>
      <c r="E42" s="28" t="s">
        <v>68</v>
      </c>
      <c r="F42" s="61" t="s">
        <v>69</v>
      </c>
      <c r="G42" s="62"/>
      <c r="H42" s="62"/>
      <c r="I42" s="62"/>
      <c r="J42" s="62"/>
      <c r="K42" s="62"/>
      <c r="L42" s="63"/>
    </row>
    <row r="43" spans="1:12" ht="16.5" thickBot="1" thickTop="1">
      <c r="A43" s="24"/>
      <c r="B43" s="24" t="s">
        <v>70</v>
      </c>
      <c r="C43" s="25" t="s">
        <v>103</v>
      </c>
      <c r="D43" s="26"/>
      <c r="E43" s="27" t="s">
        <v>72</v>
      </c>
      <c r="F43" s="28"/>
      <c r="G43" s="28" t="s">
        <v>73</v>
      </c>
      <c r="H43" s="30" t="s">
        <v>83</v>
      </c>
      <c r="I43" s="30" t="s">
        <v>83</v>
      </c>
      <c r="J43" s="28"/>
      <c r="K43" s="28"/>
      <c r="L43" s="28"/>
    </row>
    <row r="44" spans="1:12" ht="16.5" thickBot="1" thickTop="1">
      <c r="A44" s="29" t="s">
        <v>75</v>
      </c>
      <c r="B44" s="29" t="s">
        <v>76</v>
      </c>
      <c r="C44" s="30" t="s">
        <v>77</v>
      </c>
      <c r="D44" s="30" t="s">
        <v>78</v>
      </c>
      <c r="E44" s="30" t="s">
        <v>79</v>
      </c>
      <c r="F44" s="30" t="s">
        <v>80</v>
      </c>
      <c r="G44" s="30" t="s">
        <v>81</v>
      </c>
      <c r="H44" s="30" t="s">
        <v>10</v>
      </c>
      <c r="I44" s="30" t="s">
        <v>11</v>
      </c>
      <c r="J44" s="30" t="s">
        <v>82</v>
      </c>
      <c r="K44" s="30" t="s">
        <v>74</v>
      </c>
      <c r="L44" s="30" t="s">
        <v>84</v>
      </c>
    </row>
    <row r="45" spans="1:12" ht="15.75" thickTop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ht="15">
      <c r="A46" s="34" t="s">
        <v>85</v>
      </c>
      <c r="B46" s="35">
        <v>400</v>
      </c>
      <c r="C46" s="36">
        <v>3.1</v>
      </c>
      <c r="D46" s="36">
        <v>6</v>
      </c>
      <c r="E46" s="36">
        <f>WHOLESALE!S17</f>
        <v>0</v>
      </c>
      <c r="F46" s="36">
        <f>WHOLESALE!S9</f>
        <v>0</v>
      </c>
      <c r="G46" s="36">
        <f>WHOLESALE!S10</f>
        <v>0</v>
      </c>
      <c r="H46" s="36">
        <f>WHOLESALE!S11</f>
        <v>0</v>
      </c>
      <c r="I46" s="36">
        <f>WHOLESALE!S12</f>
        <v>0</v>
      </c>
      <c r="J46" s="36">
        <f>WHOLESALE!S14</f>
        <v>0</v>
      </c>
      <c r="K46" s="36">
        <f>WHOLESALE!S15</f>
        <v>0</v>
      </c>
      <c r="L46" s="64">
        <f>WHOLESALE!S16</f>
        <v>0</v>
      </c>
    </row>
    <row r="47" spans="1:12" ht="15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65"/>
    </row>
    <row r="48" spans="1:12" ht="15">
      <c r="A48" s="44" t="s">
        <v>28</v>
      </c>
      <c r="B48" s="45">
        <v>800</v>
      </c>
      <c r="C48" s="46">
        <v>1.5</v>
      </c>
      <c r="D48" s="46">
        <v>3.09</v>
      </c>
      <c r="E48" s="46">
        <f>WHOLESALE!S27</f>
        <v>0</v>
      </c>
      <c r="F48" s="46">
        <f>WHOLESALE!S19</f>
        <v>0</v>
      </c>
      <c r="G48" s="46">
        <f>WHOLESALE!S20</f>
        <v>0</v>
      </c>
      <c r="H48" s="46">
        <f>WHOLESALE!S21</f>
        <v>0</v>
      </c>
      <c r="I48" s="46">
        <f>WHOLESALE!S22</f>
        <v>0</v>
      </c>
      <c r="J48" s="46">
        <f>WHOLESALE!S24</f>
        <v>0</v>
      </c>
      <c r="K48" s="46">
        <f>WHOLESALE!S25</f>
        <v>0</v>
      </c>
      <c r="L48" s="66">
        <f>WHOLESALE!S26</f>
        <v>0</v>
      </c>
    </row>
    <row r="49" spans="1:12" ht="15">
      <c r="A49" s="34" t="s">
        <v>86</v>
      </c>
      <c r="B49" s="35">
        <v>900</v>
      </c>
      <c r="C49" s="36">
        <v>0.5</v>
      </c>
      <c r="D49" s="36">
        <v>1.49</v>
      </c>
      <c r="E49" s="36">
        <f>WHOLESALE!S37</f>
        <v>0</v>
      </c>
      <c r="F49" s="36">
        <f>WHOLESALE!S29</f>
        <v>0</v>
      </c>
      <c r="G49" s="36">
        <f>WHOLESALE!S30</f>
        <v>0</v>
      </c>
      <c r="H49" s="36">
        <f>WHOLESALE!S31</f>
        <v>0</v>
      </c>
      <c r="I49" s="36">
        <f>WHOLESALE!S32</f>
        <v>0</v>
      </c>
      <c r="J49" s="36">
        <f>WHOLESALE!S34</f>
        <v>0</v>
      </c>
      <c r="K49" s="36">
        <f>WHOLESALE!S35</f>
        <v>0</v>
      </c>
      <c r="L49" s="64">
        <f>WHOLESALE!S36</f>
        <v>0</v>
      </c>
    </row>
    <row r="50" spans="1:12" ht="1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65"/>
    </row>
    <row r="51" spans="1:12" ht="15">
      <c r="A51" s="34" t="s">
        <v>30</v>
      </c>
      <c r="B51" s="35">
        <v>1200</v>
      </c>
      <c r="C51" s="36">
        <v>0</v>
      </c>
      <c r="D51" s="36">
        <v>0.49</v>
      </c>
      <c r="E51" s="36">
        <f>WHOLESALE!S47</f>
        <v>0</v>
      </c>
      <c r="F51" s="36">
        <f>WHOLESALE!S39</f>
        <v>0</v>
      </c>
      <c r="G51" s="36">
        <f>WHOLESALE!S40</f>
        <v>0</v>
      </c>
      <c r="H51" s="36">
        <f>WHOLESALE!S41</f>
        <v>0</v>
      </c>
      <c r="I51" s="36">
        <f>WHOLESALE!S42</f>
        <v>0</v>
      </c>
      <c r="J51" s="36">
        <f>WHOLESALE!S44</f>
        <v>0</v>
      </c>
      <c r="K51" s="36">
        <f>WHOLESALE!S45</f>
        <v>0</v>
      </c>
      <c r="L51" s="64">
        <f>WHOLESALE!S46</f>
        <v>0</v>
      </c>
    </row>
    <row r="52" spans="1:12" ht="15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65"/>
    </row>
    <row r="53" spans="1:12" ht="15">
      <c r="A53" s="44" t="s">
        <v>15</v>
      </c>
      <c r="B53" s="45">
        <v>500</v>
      </c>
      <c r="C53" s="46">
        <v>3.1</v>
      </c>
      <c r="D53" s="46">
        <v>6</v>
      </c>
      <c r="E53" s="46">
        <f>WHOLESALE!S57</f>
        <v>0</v>
      </c>
      <c r="F53" s="46">
        <f>WHOLESALE!S49</f>
        <v>0</v>
      </c>
      <c r="G53" s="46">
        <f>WHOLESALE!S50</f>
        <v>0</v>
      </c>
      <c r="H53" s="46">
        <f>WHOLESALE!S51</f>
        <v>0</v>
      </c>
      <c r="I53" s="46">
        <f>WHOLESALE!S52</f>
        <v>0</v>
      </c>
      <c r="J53" s="46">
        <f>WHOLESALE!S54</f>
        <v>0</v>
      </c>
      <c r="K53" s="46">
        <f>WHOLESALE!S55</f>
        <v>0</v>
      </c>
      <c r="L53" s="66">
        <f>WHOLESALE!S56</f>
        <v>0</v>
      </c>
    </row>
    <row r="54" spans="1:12" ht="15">
      <c r="A54" s="34" t="s">
        <v>31</v>
      </c>
      <c r="B54" s="35">
        <v>600</v>
      </c>
      <c r="C54" s="36">
        <v>0</v>
      </c>
      <c r="D54" s="36">
        <v>3.1</v>
      </c>
      <c r="E54" s="36">
        <f>WHOLESALE!S67</f>
        <v>0</v>
      </c>
      <c r="F54" s="36">
        <f>WHOLESALE!S59</f>
        <v>0</v>
      </c>
      <c r="G54" s="36">
        <f>WHOLESALE!S60</f>
        <v>0</v>
      </c>
      <c r="H54" s="36">
        <f>WHOLESALE!S61</f>
        <v>0</v>
      </c>
      <c r="I54" s="36">
        <f>WHOLESALE!S62</f>
        <v>0</v>
      </c>
      <c r="J54" s="36">
        <f>WHOLESALE!S64</f>
        <v>0</v>
      </c>
      <c r="K54" s="36">
        <f>WHOLESALE!S65</f>
        <v>0</v>
      </c>
      <c r="L54" s="64">
        <f>WHOLESALE!S66</f>
        <v>0</v>
      </c>
    </row>
    <row r="55" spans="1:12" ht="1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65"/>
    </row>
    <row r="56" spans="1:12" ht="15">
      <c r="A56" s="34" t="s">
        <v>16</v>
      </c>
      <c r="B56" s="35">
        <v>1000</v>
      </c>
      <c r="C56" s="36">
        <v>0</v>
      </c>
      <c r="D56" s="36">
        <v>6</v>
      </c>
      <c r="E56" s="36">
        <f>WHOLESALE!S87</f>
        <v>0</v>
      </c>
      <c r="F56" s="36">
        <f>WHOLESALE!S79</f>
        <v>0</v>
      </c>
      <c r="G56" s="36">
        <f>WHOLESALE!S80</f>
        <v>0</v>
      </c>
      <c r="H56" s="36">
        <f>WHOLESALE!S81</f>
        <v>0</v>
      </c>
      <c r="I56" s="36">
        <f>WHOLESALE!S82</f>
        <v>0</v>
      </c>
      <c r="J56" s="36">
        <f>WHOLESALE!S84</f>
        <v>0</v>
      </c>
      <c r="K56" s="36">
        <f>WHOLESALE!S85</f>
        <v>0</v>
      </c>
      <c r="L56" s="64">
        <f>WHOLESALE!S86</f>
        <v>0</v>
      </c>
    </row>
    <row r="57" spans="1:12" ht="15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65"/>
    </row>
    <row r="58" spans="1:12" ht="15">
      <c r="A58" s="34" t="s">
        <v>104</v>
      </c>
      <c r="B58" s="35">
        <v>1500</v>
      </c>
      <c r="C58" s="36">
        <v>6.01</v>
      </c>
      <c r="D58" s="36">
        <v>17.99</v>
      </c>
      <c r="E58" s="36">
        <f>WHOLESALE!S106</f>
        <v>0</v>
      </c>
      <c r="F58" s="36"/>
      <c r="G58" s="36">
        <f>WHOLESALE!S99</f>
        <v>0</v>
      </c>
      <c r="H58" s="36">
        <f>WHOLESALE!S100</f>
        <v>0</v>
      </c>
      <c r="I58" s="36">
        <f>WHOLESALE!S101</f>
        <v>0</v>
      </c>
      <c r="J58" s="36">
        <f>WHOLESALE!S103</f>
        <v>0</v>
      </c>
      <c r="K58" s="36">
        <f>WHOLESALE!S104</f>
        <v>0</v>
      </c>
      <c r="L58" s="64">
        <f>WHOLESALE!S105</f>
        <v>0</v>
      </c>
    </row>
    <row r="59" spans="1:12" ht="15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65"/>
    </row>
    <row r="60" spans="1:12" ht="15">
      <c r="A60" s="44" t="s">
        <v>50</v>
      </c>
      <c r="B60" s="45">
        <v>1700</v>
      </c>
      <c r="C60" s="46">
        <v>18</v>
      </c>
      <c r="D60" s="46">
        <v>29.99</v>
      </c>
      <c r="E60" s="46">
        <f>WHOLESALE!S118</f>
        <v>0</v>
      </c>
      <c r="F60" s="46"/>
      <c r="G60" s="46">
        <f>WHOLESALE!S111</f>
        <v>0</v>
      </c>
      <c r="H60" s="46">
        <f>WHOLESALE!S112</f>
        <v>0</v>
      </c>
      <c r="I60" s="46">
        <f>WHOLESALE!S113</f>
        <v>0</v>
      </c>
      <c r="J60" s="46">
        <f>WHOLESALE!S115</f>
        <v>0</v>
      </c>
      <c r="K60" s="46">
        <f>WHOLESALE!S116</f>
        <v>0</v>
      </c>
      <c r="L60" s="66">
        <f>WHOLESALE!S117</f>
        <v>0</v>
      </c>
    </row>
    <row r="61" spans="1:12" ht="15">
      <c r="A61" s="44" t="s">
        <v>34</v>
      </c>
      <c r="B61" s="45">
        <v>1800</v>
      </c>
      <c r="C61" s="46">
        <v>30</v>
      </c>
      <c r="D61" s="46">
        <v>35.99</v>
      </c>
      <c r="E61" s="46">
        <f>WHOLESALE!S127</f>
        <v>0</v>
      </c>
      <c r="F61" s="46"/>
      <c r="G61" s="46">
        <f>WHOLESALE!S120</f>
        <v>0</v>
      </c>
      <c r="H61" s="46">
        <f>WHOLESALE!S121</f>
        <v>0</v>
      </c>
      <c r="I61" s="46">
        <f>WHOLESALE!S122</f>
        <v>0</v>
      </c>
      <c r="J61" s="46">
        <f>WHOLESALE!S124</f>
        <v>0</v>
      </c>
      <c r="K61" s="46">
        <f>WHOLESALE!S125</f>
        <v>0</v>
      </c>
      <c r="L61" s="66">
        <f>WHOLESALE!S126</f>
        <v>0</v>
      </c>
    </row>
    <row r="62" spans="1:12" ht="15">
      <c r="A62" s="34" t="s">
        <v>35</v>
      </c>
      <c r="B62" s="35">
        <v>1900</v>
      </c>
      <c r="C62" s="36">
        <v>36</v>
      </c>
      <c r="D62" s="36">
        <v>50</v>
      </c>
      <c r="E62" s="36">
        <f>WHOLESALE!S136</f>
        <v>0</v>
      </c>
      <c r="F62" s="36"/>
      <c r="G62" s="36">
        <f>WHOLESALE!S129</f>
        <v>0</v>
      </c>
      <c r="H62" s="36">
        <f>WHOLESALE!S130</f>
        <v>0</v>
      </c>
      <c r="I62" s="36">
        <f>WHOLESALE!S131</f>
        <v>0</v>
      </c>
      <c r="J62" s="36">
        <f>WHOLESALE!S133</f>
        <v>0</v>
      </c>
      <c r="K62" s="36">
        <f>WHOLESALE!S134</f>
        <v>0</v>
      </c>
      <c r="L62" s="64">
        <f>WHOLESALE!S135</f>
        <v>0</v>
      </c>
    </row>
    <row r="63" spans="1:12" ht="15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65"/>
    </row>
    <row r="64" spans="1:12" ht="15.75" thickBot="1">
      <c r="A64" s="49" t="s">
        <v>105</v>
      </c>
      <c r="B64" s="50">
        <v>1600</v>
      </c>
      <c r="C64" s="51">
        <v>0</v>
      </c>
      <c r="D64" s="51">
        <v>29.99</v>
      </c>
      <c r="E64" s="51">
        <f>WHOLESALE!S145</f>
        <v>0</v>
      </c>
      <c r="F64" s="51"/>
      <c r="G64" s="51">
        <f>WHOLESALE!S138</f>
        <v>0</v>
      </c>
      <c r="H64" s="51">
        <f>WHOLESALE!S139</f>
        <v>0</v>
      </c>
      <c r="I64" s="51">
        <f>WHOLESALE!S140</f>
        <v>0</v>
      </c>
      <c r="J64" s="51">
        <f>WHOLESALE!S142</f>
        <v>0</v>
      </c>
      <c r="K64" s="51">
        <f>WHOLESALE!S143</f>
        <v>0</v>
      </c>
      <c r="L64" s="67">
        <f>WHOLESALE!S144</f>
        <v>0</v>
      </c>
    </row>
    <row r="65" spans="1:12" ht="15.75" thickTop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5">
      <c r="A66" s="54" t="s">
        <v>106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5">
      <c r="A67" s="54" t="s">
        <v>107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5">
      <c r="A68" s="54" t="s">
        <v>108</v>
      </c>
      <c r="B68" s="54" t="s">
        <v>109</v>
      </c>
      <c r="C68" s="101">
        <f>ROUND(C34+0.075,2)</f>
        <v>2.8</v>
      </c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">
      <c r="A69" s="54"/>
      <c r="B69" s="54" t="s">
        <v>110</v>
      </c>
      <c r="C69" s="101">
        <f>ROUND(F34+0.15,2)</f>
        <v>5.46</v>
      </c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5">
      <c r="A70" s="54" t="s">
        <v>134</v>
      </c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5">
      <c r="A71" s="54" t="s">
        <v>99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5" zoomScaleNormal="75" zoomScalePageLayoutView="0" workbookViewId="0" topLeftCell="A22">
      <selection activeCell="E47" sqref="E47:M67"/>
    </sheetView>
  </sheetViews>
  <sheetFormatPr defaultColWidth="9.140625" defaultRowHeight="12.75"/>
  <cols>
    <col min="1" max="1" width="43.28125" style="0" customWidth="1"/>
    <col min="2" max="2" width="12.421875" style="0" customWidth="1"/>
    <col min="3" max="4" width="9.28125" style="0" bestFit="1" customWidth="1"/>
    <col min="5" max="5" width="10.140625" style="0" customWidth="1"/>
    <col min="6" max="6" width="9.57421875" style="0" bestFit="1" customWidth="1"/>
    <col min="7" max="7" width="9.28125" style="0" bestFit="1" customWidth="1"/>
    <col min="8" max="8" width="11.140625" style="0" bestFit="1" customWidth="1"/>
    <col min="9" max="10" width="10.140625" style="0" customWidth="1"/>
    <col min="11" max="11" width="9.8515625" style="0" customWidth="1"/>
    <col min="12" max="12" width="9.57421875" style="0" bestFit="1" customWidth="1"/>
    <col min="13" max="13" width="9.7109375" style="0" customWidth="1"/>
  </cols>
  <sheetData>
    <row r="1" spans="1:13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thickBot="1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thickBot="1">
      <c r="A3" s="20"/>
      <c r="B3" s="8"/>
      <c r="C3" s="8"/>
      <c r="D3" s="247" t="s">
        <v>205</v>
      </c>
      <c r="F3" s="8"/>
      <c r="G3" s="8"/>
      <c r="H3" s="8"/>
      <c r="I3" s="201"/>
      <c r="J3" s="201"/>
      <c r="K3" s="201"/>
      <c r="L3" s="202" t="s">
        <v>178</v>
      </c>
      <c r="M3" s="202" t="s">
        <v>179</v>
      </c>
    </row>
    <row r="4" spans="2:13" ht="18.75" thickBot="1">
      <c r="B4" s="8"/>
      <c r="C4" s="8"/>
      <c r="D4" s="20" t="s">
        <v>206</v>
      </c>
      <c r="F4" s="8"/>
      <c r="G4" s="8"/>
      <c r="H4" s="8"/>
      <c r="I4" s="203" t="s">
        <v>176</v>
      </c>
      <c r="J4" s="250"/>
      <c r="K4" s="204"/>
      <c r="L4" s="205">
        <f>CL_I_SKIM_RATE</f>
        <v>0</v>
      </c>
      <c r="M4" s="206">
        <f>CL_II_SKIM_RATE</f>
        <v>0</v>
      </c>
    </row>
    <row r="5" spans="1:13" ht="18.75" thickBot="1">
      <c r="A5" s="20" t="s">
        <v>207</v>
      </c>
      <c r="B5" s="8"/>
      <c r="C5" s="8"/>
      <c r="D5" s="8"/>
      <c r="E5" s="8"/>
      <c r="F5" s="8"/>
      <c r="G5" s="8"/>
      <c r="H5" s="8"/>
      <c r="I5" s="203" t="s">
        <v>177</v>
      </c>
      <c r="J5" s="250"/>
      <c r="K5" s="204"/>
      <c r="L5" s="207">
        <f>CL_I_BF_RATE</f>
        <v>0</v>
      </c>
      <c r="M5" s="208">
        <f>CL_II_BF_RATE</f>
        <v>0</v>
      </c>
    </row>
    <row r="6" spans="1:13" ht="35.25" thickBot="1">
      <c r="A6" s="98">
        <f>INPUT!B3</f>
        <v>0</v>
      </c>
      <c r="B6" s="21"/>
      <c r="C6" s="21"/>
      <c r="D6" s="252" t="s">
        <v>154</v>
      </c>
      <c r="E6" s="129"/>
      <c r="F6" s="19"/>
      <c r="G6" s="10"/>
      <c r="H6" s="129"/>
      <c r="I6" s="10"/>
      <c r="J6" s="10"/>
      <c r="M6" s="242" t="str">
        <f>INPUT!A2</f>
        <v>OGO A-953 (CRO-15)</v>
      </c>
    </row>
    <row r="7" spans="1:13" ht="16.5" thickBot="1" thickTop="1">
      <c r="A7" s="58"/>
      <c r="B7" s="58"/>
      <c r="C7" s="59" t="s">
        <v>67</v>
      </c>
      <c r="D7" s="60"/>
      <c r="E7" s="28" t="s">
        <v>68</v>
      </c>
      <c r="F7" s="61" t="s">
        <v>69</v>
      </c>
      <c r="G7" s="62"/>
      <c r="H7" s="62"/>
      <c r="I7" s="62"/>
      <c r="J7" s="62"/>
      <c r="K7" s="62"/>
      <c r="L7" s="62"/>
      <c r="M7" s="63"/>
    </row>
    <row r="8" spans="1:13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 t="s">
        <v>74</v>
      </c>
      <c r="M8" s="28"/>
    </row>
    <row r="9" spans="1:13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130" t="s">
        <v>215</v>
      </c>
      <c r="K9" s="30" t="s">
        <v>216</v>
      </c>
      <c r="L9" s="245" t="s">
        <v>156</v>
      </c>
      <c r="M9" s="30" t="s">
        <v>84</v>
      </c>
    </row>
    <row r="10" spans="1:13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44" t="s">
        <v>85</v>
      </c>
      <c r="B11" s="45">
        <v>400</v>
      </c>
      <c r="C11" s="46">
        <v>3.1</v>
      </c>
      <c r="D11" s="46">
        <v>6</v>
      </c>
      <c r="E11" s="47">
        <f>RETAIL!D17</f>
        <v>0.7858</v>
      </c>
      <c r="F11" s="47">
        <f>RETAIL!D9</f>
        <v>2.0119</v>
      </c>
      <c r="G11" s="47">
        <f>RETAIL!D10</f>
        <v>1.0284</v>
      </c>
      <c r="H11" s="47">
        <f>RETAIL!D11</f>
        <v>0.579</v>
      </c>
      <c r="I11" s="47">
        <f>RETAIL!D12</f>
        <v>0.331</v>
      </c>
      <c r="J11" s="47">
        <f>RETAIL!D13</f>
        <v>0.2642</v>
      </c>
      <c r="K11" s="47">
        <f>RETAIL!D14</f>
        <v>0.2545</v>
      </c>
      <c r="L11" s="47">
        <f>RETAIL!D15</f>
        <v>0.1582</v>
      </c>
      <c r="M11" s="48">
        <f>RETAIL!D16</f>
        <v>0.1492</v>
      </c>
    </row>
    <row r="12" spans="1:13" ht="15">
      <c r="A12" s="44" t="s">
        <v>28</v>
      </c>
      <c r="B12" s="45">
        <v>800</v>
      </c>
      <c r="C12" s="46">
        <v>1.5</v>
      </c>
      <c r="D12" s="46">
        <v>3.09</v>
      </c>
      <c r="E12" s="47">
        <f>RETAIL!D27</f>
        <v>0.7861</v>
      </c>
      <c r="F12" s="47">
        <f>RETAIL!D19</f>
        <v>2.0128</v>
      </c>
      <c r="G12" s="47">
        <f>RETAIL!D20</f>
        <v>1.0288</v>
      </c>
      <c r="H12" s="47">
        <f>RETAIL!D21</f>
        <v>0.5792</v>
      </c>
      <c r="I12" s="47">
        <f>RETAIL!D22</f>
        <v>0.3311</v>
      </c>
      <c r="J12" s="47">
        <f>RETAIL!D23</f>
        <v>0.2643</v>
      </c>
      <c r="K12" s="47">
        <f>RETAIL!D24</f>
        <v>0.2545</v>
      </c>
      <c r="L12" s="47">
        <f>RETAIL!D25</f>
        <v>0.1583</v>
      </c>
      <c r="M12" s="48">
        <f>RETAIL!D26</f>
        <v>0.1493</v>
      </c>
    </row>
    <row r="13" spans="1:13" ht="15">
      <c r="A13" s="34" t="s">
        <v>86</v>
      </c>
      <c r="B13" s="35">
        <v>900</v>
      </c>
      <c r="C13" s="36">
        <v>0.5</v>
      </c>
      <c r="D13" s="36">
        <v>1.49</v>
      </c>
      <c r="E13" s="37">
        <f>RETAIL!D37</f>
        <v>0.7861</v>
      </c>
      <c r="F13" s="37">
        <f>RETAIL!D29</f>
        <v>2.0128</v>
      </c>
      <c r="G13" s="37">
        <f>RETAIL!D30</f>
        <v>1.0288</v>
      </c>
      <c r="H13" s="37">
        <f>RETAIL!D31</f>
        <v>0.5792</v>
      </c>
      <c r="I13" s="37">
        <f>RETAIL!D32</f>
        <v>0.3311</v>
      </c>
      <c r="J13" s="37">
        <f>RETAIL!D33</f>
        <v>0.2643</v>
      </c>
      <c r="K13" s="37">
        <f>RETAIL!D34</f>
        <v>0.2545</v>
      </c>
      <c r="L13" s="37">
        <f>RETAIL!D35</f>
        <v>0.1583</v>
      </c>
      <c r="M13" s="38">
        <f>RETAIL!D36</f>
        <v>0.1493</v>
      </c>
    </row>
    <row r="14" spans="1:13" ht="15">
      <c r="A14" s="39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15">
      <c r="A15" s="34" t="s">
        <v>30</v>
      </c>
      <c r="B15" s="35">
        <v>1200</v>
      </c>
      <c r="C15" s="36">
        <v>0</v>
      </c>
      <c r="D15" s="36">
        <v>0.49</v>
      </c>
      <c r="E15" s="37">
        <f>RETAIL!D47</f>
        <v>0.7861</v>
      </c>
      <c r="F15" s="37">
        <f>RETAIL!D39</f>
        <v>2.0128</v>
      </c>
      <c r="G15" s="37">
        <f>RETAIL!D40</f>
        <v>1.0288</v>
      </c>
      <c r="H15" s="37">
        <f>RETAIL!D41</f>
        <v>0.5792</v>
      </c>
      <c r="I15" s="37">
        <f>RETAIL!D42</f>
        <v>0.3311</v>
      </c>
      <c r="J15" s="37">
        <f>RETAIL!D43</f>
        <v>0.2643</v>
      </c>
      <c r="K15" s="37">
        <f>RETAIL!D44</f>
        <v>0.2545</v>
      </c>
      <c r="L15" s="37">
        <f>RETAIL!D45</f>
        <v>0.1583</v>
      </c>
      <c r="M15" s="38">
        <f>RETAIL!D46</f>
        <v>0.1493</v>
      </c>
    </row>
    <row r="16" spans="1:13" ht="15">
      <c r="A16" s="39"/>
      <c r="B16" s="40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5">
      <c r="A17" s="44" t="s">
        <v>15</v>
      </c>
      <c r="B17" s="45">
        <v>500</v>
      </c>
      <c r="C17" s="46">
        <v>3.1</v>
      </c>
      <c r="D17" s="46">
        <v>6</v>
      </c>
      <c r="E17" s="47">
        <f>RETAIL!D57</f>
        <v>0.7856</v>
      </c>
      <c r="F17" s="47">
        <f>RETAIL!D49</f>
        <v>2.0111</v>
      </c>
      <c r="G17" s="47">
        <f>RETAIL!D50</f>
        <v>1.028</v>
      </c>
      <c r="H17" s="47">
        <f>RETAIL!D51</f>
        <v>0.5788</v>
      </c>
      <c r="I17" s="47">
        <f>RETAIL!D52</f>
        <v>0.3309</v>
      </c>
      <c r="J17" s="47">
        <f>RETAIL!D53</f>
        <v>0.2642</v>
      </c>
      <c r="K17" s="47">
        <f>RETAIL!D54</f>
        <v>0.2544</v>
      </c>
      <c r="L17" s="47">
        <f>RETAIL!D55</f>
        <v>0.1582</v>
      </c>
      <c r="M17" s="48">
        <f>RETAIL!D56</f>
        <v>0.1492</v>
      </c>
    </row>
    <row r="18" spans="1:13" ht="15">
      <c r="A18" s="44" t="s">
        <v>31</v>
      </c>
      <c r="B18" s="45">
        <v>600</v>
      </c>
      <c r="C18" s="46">
        <v>0.5</v>
      </c>
      <c r="D18" s="46">
        <v>3.09</v>
      </c>
      <c r="E18" s="47">
        <f>RETAIL!D67</f>
        <v>0.7856</v>
      </c>
      <c r="F18" s="47">
        <f>RETAIL!D59</f>
        <v>2.0111</v>
      </c>
      <c r="G18" s="47">
        <f>RETAIL!D60</f>
        <v>1.028</v>
      </c>
      <c r="H18" s="47">
        <f>RETAIL!D61</f>
        <v>0.5788</v>
      </c>
      <c r="I18" s="47">
        <f>RETAIL!D62</f>
        <v>0.3309</v>
      </c>
      <c r="J18" s="47">
        <f>RETAIL!D63</f>
        <v>0.2642</v>
      </c>
      <c r="K18" s="47">
        <f>RETAIL!D64</f>
        <v>0.2544</v>
      </c>
      <c r="L18" s="47">
        <f>RETAIL!D65</f>
        <v>0.1582</v>
      </c>
      <c r="M18" s="48">
        <f>RETAIL!D66</f>
        <v>0.1492</v>
      </c>
    </row>
    <row r="19" spans="1:13" ht="15">
      <c r="A19" s="34" t="s">
        <v>224</v>
      </c>
      <c r="B19" s="35">
        <v>700</v>
      </c>
      <c r="C19" s="36">
        <v>0</v>
      </c>
      <c r="D19" s="36">
        <v>0.498</v>
      </c>
      <c r="E19" s="37">
        <f>RETAIL!D77</f>
        <v>0.7856</v>
      </c>
      <c r="F19" s="37">
        <f>RETAIL!D69</f>
        <v>2.0111</v>
      </c>
      <c r="G19" s="37">
        <f>RETAIL!D70</f>
        <v>1.028</v>
      </c>
      <c r="H19" s="37">
        <f>RETAIL!D71</f>
        <v>0.5788</v>
      </c>
      <c r="I19" s="37">
        <f>RETAIL!D72</f>
        <v>0.3309</v>
      </c>
      <c r="J19" s="37">
        <f>RETAIL!D73</f>
        <v>0.2642</v>
      </c>
      <c r="K19" s="37">
        <f>RETAIL!D74</f>
        <v>0.2544</v>
      </c>
      <c r="L19" s="37">
        <f>RETAIL!D75</f>
        <v>0.1582</v>
      </c>
      <c r="M19" s="38">
        <f>RETAIL!D76</f>
        <v>0.1492</v>
      </c>
    </row>
    <row r="20" spans="1:13" ht="1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5">
      <c r="A21" s="44" t="s">
        <v>16</v>
      </c>
      <c r="B21" s="45">
        <v>1000</v>
      </c>
      <c r="C21" s="46">
        <v>0</v>
      </c>
      <c r="D21" s="46">
        <v>6</v>
      </c>
      <c r="E21" s="47">
        <f>RETAIL!D87</f>
        <v>0.8587</v>
      </c>
      <c r="F21" s="47">
        <f>RETAIL!D79</f>
        <v>2.3031</v>
      </c>
      <c r="G21" s="47">
        <f>RETAIL!D80</f>
        <v>1.174</v>
      </c>
      <c r="H21" s="47">
        <f>RETAIL!D81</f>
        <v>0.6519</v>
      </c>
      <c r="I21" s="47">
        <f>RETAIL!D82</f>
        <v>0.3673</v>
      </c>
      <c r="J21" s="47">
        <f>RETAIL!D83</f>
        <v>0.2915</v>
      </c>
      <c r="K21" s="47">
        <f>RETAIL!D84</f>
        <v>0.2772</v>
      </c>
      <c r="L21" s="47">
        <f>RETAIL!D85</f>
        <v>0.1765</v>
      </c>
      <c r="M21" s="48">
        <f>RETAIL!D86</f>
        <v>0.1583</v>
      </c>
    </row>
    <row r="22" spans="1:13" ht="15">
      <c r="A22" s="44" t="s">
        <v>191</v>
      </c>
      <c r="B22" s="45">
        <v>510</v>
      </c>
      <c r="C22" s="46">
        <v>0</v>
      </c>
      <c r="D22" s="46">
        <v>17.99</v>
      </c>
      <c r="E22" s="47">
        <f>WHOLESALE!N97</f>
        <v>1.3003</v>
      </c>
      <c r="F22" s="47">
        <f>WHOLESALE!N89</f>
        <v>4.0695</v>
      </c>
      <c r="G22" s="47">
        <f>WHOLESALE!N90</f>
        <v>2.0572</v>
      </c>
      <c r="H22" s="47">
        <f>WHOLESALE!N91</f>
        <v>1.0934</v>
      </c>
      <c r="I22" s="47">
        <f>WHOLESALE!N92</f>
        <v>0.5882</v>
      </c>
      <c r="J22" s="47">
        <f>WHOLESALE!N93</f>
        <v>0.4571</v>
      </c>
      <c r="K22" s="47">
        <f>WHOLESALE!N94</f>
        <v>0.4152</v>
      </c>
      <c r="L22" s="47">
        <f>WHOLESALE!N95</f>
        <v>0.2868</v>
      </c>
      <c r="M22" s="38">
        <f>WHOLESALE!N96</f>
        <v>0.2135</v>
      </c>
    </row>
    <row r="23" spans="1:13" ht="15">
      <c r="A23" s="39"/>
      <c r="B23" s="40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5">
      <c r="A24" s="34" t="s">
        <v>87</v>
      </c>
      <c r="B24" s="35">
        <v>1500</v>
      </c>
      <c r="C24" s="36">
        <v>6.01</v>
      </c>
      <c r="D24" s="36">
        <v>17.99</v>
      </c>
      <c r="E24" s="37">
        <f>RETAIL!D106</f>
        <v>0.9879</v>
      </c>
      <c r="F24" s="37"/>
      <c r="G24" s="37">
        <f>RETAIL!D99</f>
        <v>1.4325</v>
      </c>
      <c r="H24" s="37">
        <f>RETAIL!D100</f>
        <v>0.7811</v>
      </c>
      <c r="I24" s="37">
        <f>RETAIL!D101</f>
        <v>0.432</v>
      </c>
      <c r="J24" s="37">
        <f>RETAIL!D102</f>
        <v>0.34</v>
      </c>
      <c r="K24" s="37">
        <f>RETAIL!D103</f>
        <v>0.3176</v>
      </c>
      <c r="L24" s="37">
        <f>RETAIL!D104</f>
        <v>0.2088</v>
      </c>
      <c r="M24" s="38"/>
    </row>
    <row r="25" spans="1:13" ht="15">
      <c r="A25" s="39"/>
      <c r="B25" s="40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">
      <c r="A26" s="44" t="s">
        <v>50</v>
      </c>
      <c r="B26" s="45">
        <v>1700</v>
      </c>
      <c r="C26" s="46">
        <v>18</v>
      </c>
      <c r="D26" s="46">
        <v>29.99</v>
      </c>
      <c r="E26" s="47">
        <f>RETAIL!D115</f>
        <v>0.9904</v>
      </c>
      <c r="F26" s="47"/>
      <c r="G26" s="47"/>
      <c r="H26" s="47">
        <f>RETAIL!D109</f>
        <v>0.7836</v>
      </c>
      <c r="I26" s="47">
        <f>RETAIL!D110</f>
        <v>0.4332</v>
      </c>
      <c r="J26" s="47">
        <f>RETAIL!D111</f>
        <v>0.341</v>
      </c>
      <c r="K26" s="47">
        <f>RETAIL!D112</f>
        <v>0.3184</v>
      </c>
      <c r="L26" s="47">
        <f>RETAIL!D113</f>
        <v>0.2094</v>
      </c>
      <c r="M26" s="48"/>
    </row>
    <row r="27" spans="1:13" ht="15">
      <c r="A27" s="44" t="s">
        <v>34</v>
      </c>
      <c r="B27" s="45">
        <v>1800</v>
      </c>
      <c r="C27" s="46">
        <v>30</v>
      </c>
      <c r="D27" s="46">
        <v>35.99</v>
      </c>
      <c r="E27" s="47">
        <f>RETAIL!D124</f>
        <v>0.9904</v>
      </c>
      <c r="F27" s="47"/>
      <c r="G27" s="47"/>
      <c r="H27" s="47">
        <f>RETAIL!D118</f>
        <v>0.7836</v>
      </c>
      <c r="I27" s="47">
        <f>RETAIL!D119</f>
        <v>0.4332</v>
      </c>
      <c r="J27" s="47">
        <f>RETAIL!D120</f>
        <v>0.341</v>
      </c>
      <c r="K27" s="47">
        <f>RETAIL!D121</f>
        <v>0.3184</v>
      </c>
      <c r="L27" s="47">
        <f>RETAIL!D122</f>
        <v>0.2094</v>
      </c>
      <c r="M27" s="48"/>
    </row>
    <row r="28" spans="1:13" ht="15">
      <c r="A28" s="34" t="s">
        <v>35</v>
      </c>
      <c r="B28" s="35">
        <v>1900</v>
      </c>
      <c r="C28" s="36">
        <v>36</v>
      </c>
      <c r="D28" s="36">
        <v>50</v>
      </c>
      <c r="E28" s="37">
        <f>RETAIL!D133</f>
        <v>0.9904</v>
      </c>
      <c r="F28" s="37"/>
      <c r="G28" s="37"/>
      <c r="H28" s="37">
        <f>RETAIL!D127</f>
        <v>0.7836</v>
      </c>
      <c r="I28" s="37">
        <f>RETAIL!D128</f>
        <v>0.4332</v>
      </c>
      <c r="J28" s="37">
        <f>RETAIL!D129</f>
        <v>0.341</v>
      </c>
      <c r="K28" s="37">
        <f>RETAIL!D130</f>
        <v>0.3184</v>
      </c>
      <c r="L28" s="37">
        <f>RETAIL!D131</f>
        <v>0.2094</v>
      </c>
      <c r="M28" s="38"/>
    </row>
    <row r="29" spans="1:13" ht="15">
      <c r="A29" s="39"/>
      <c r="B29" s="40"/>
      <c r="C29" s="41"/>
      <c r="D29" s="41"/>
      <c r="E29" s="131" t="str">
        <f>FIXED(E30/2.1275,4)&amp;" /LB."</f>
        <v>0.6683 /LB.</v>
      </c>
      <c r="F29" s="42"/>
      <c r="G29" s="42"/>
      <c r="H29" s="42"/>
      <c r="I29" s="42"/>
      <c r="J29" s="42"/>
      <c r="K29" s="42"/>
      <c r="L29" s="42"/>
      <c r="M29" s="43"/>
    </row>
    <row r="30" spans="1:13" ht="15.75" thickBot="1">
      <c r="A30" s="49" t="s">
        <v>51</v>
      </c>
      <c r="B30" s="50">
        <v>1600</v>
      </c>
      <c r="C30" s="51">
        <v>0</v>
      </c>
      <c r="D30" s="51">
        <v>29.99</v>
      </c>
      <c r="E30" s="52">
        <f>RETAIL!D142</f>
        <v>1.4219</v>
      </c>
      <c r="F30" s="52"/>
      <c r="G30" s="52"/>
      <c r="H30" s="52">
        <f>RETAIL!D136</f>
        <v>1.296</v>
      </c>
      <c r="I30" s="52">
        <f>RETAIL!D137</f>
        <v>0.6895</v>
      </c>
      <c r="J30" s="52">
        <f>RETAIL!D138</f>
        <v>0.4678</v>
      </c>
      <c r="K30" s="52">
        <f>RETAIL!D139</f>
        <v>0.3899</v>
      </c>
      <c r="L30" s="52">
        <f>RETAIL!D140</f>
        <v>0.3375</v>
      </c>
      <c r="M30" s="53"/>
    </row>
    <row r="31" spans="1:13" ht="15.75" thickTop="1">
      <c r="A31" s="54" t="s">
        <v>89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5">
      <c r="A32" s="54" t="s">
        <v>90</v>
      </c>
      <c r="B32" s="54"/>
      <c r="C32" s="54"/>
      <c r="D32" s="54"/>
      <c r="E32" s="54"/>
      <c r="F32" s="54"/>
      <c r="G32" s="54"/>
      <c r="H32" s="54"/>
      <c r="I32" s="55"/>
      <c r="J32" s="55"/>
      <c r="K32" s="54"/>
      <c r="L32" s="54"/>
      <c r="M32" s="54"/>
    </row>
    <row r="33" spans="1:13" ht="15">
      <c r="A33" s="54" t="s">
        <v>91</v>
      </c>
      <c r="B33" s="82" t="s">
        <v>92</v>
      </c>
      <c r="C33" s="107">
        <f>WHOLESALE!N107</f>
        <v>0.0165</v>
      </c>
      <c r="D33" s="132"/>
      <c r="E33" s="104" t="s">
        <v>93</v>
      </c>
      <c r="F33" s="107">
        <f>WHOLESALE!N108</f>
        <v>0.0222</v>
      </c>
      <c r="G33" s="104"/>
      <c r="H33" s="104" t="s">
        <v>94</v>
      </c>
      <c r="I33" s="107">
        <f>WHOLESALE!N109</f>
        <v>0.0333</v>
      </c>
      <c r="J33" s="107"/>
      <c r="K33" s="54"/>
      <c r="L33" s="54"/>
      <c r="M33" s="54"/>
    </row>
    <row r="34" spans="1:13" ht="15">
      <c r="A34" s="54" t="s">
        <v>175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">
      <c r="A35" s="347" t="str">
        <f>CONCATENATE("   /4/  ADD $",INPUT!B20," WHEN SOLD IN RIGID PLASTIC CONTAINERS.")</f>
        <v>   /4/  ADD $ WHEN SOLD IN RIGID PLASTIC CONTAINERS.</v>
      </c>
      <c r="B35" s="347"/>
      <c r="C35" s="347"/>
      <c r="D35" s="347"/>
      <c r="E35" s="54"/>
      <c r="F35" s="54"/>
      <c r="G35" s="54"/>
      <c r="H35" s="54"/>
      <c r="I35" s="55"/>
      <c r="J35" s="55"/>
      <c r="K35" s="54"/>
      <c r="L35" s="54"/>
      <c r="M35" s="54"/>
    </row>
    <row r="36" spans="5:13" ht="15">
      <c r="E36" s="54"/>
      <c r="F36" s="54"/>
      <c r="G36" s="54"/>
      <c r="H36" s="54"/>
      <c r="I36" s="55"/>
      <c r="J36" s="55"/>
      <c r="K36" s="54"/>
      <c r="L36" s="54"/>
      <c r="M36" s="54"/>
    </row>
    <row r="37" spans="2:13" ht="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34.5">
      <c r="A38" s="19" t="str">
        <f>+A1</f>
        <v>AREA  2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  <c r="M38" s="8"/>
    </row>
    <row r="39" spans="1:13" ht="18">
      <c r="A39" s="20" t="s">
        <v>19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  <c r="M39" s="8"/>
    </row>
    <row r="40" spans="1:13" ht="18">
      <c r="A40" s="20" t="s">
        <v>141</v>
      </c>
      <c r="B40" s="22"/>
      <c r="C40" s="22"/>
      <c r="D40" s="22"/>
      <c r="E40" s="56"/>
      <c r="F40" s="20"/>
      <c r="G40" s="22"/>
      <c r="H40" s="22"/>
      <c r="I40" s="8"/>
      <c r="J40" s="8"/>
      <c r="K40" s="8"/>
      <c r="L40" s="8"/>
      <c r="M40" s="8"/>
    </row>
    <row r="41" spans="1:13" ht="18">
      <c r="A41" s="20" t="s">
        <v>100</v>
      </c>
      <c r="B41" s="56"/>
      <c r="C41" s="56"/>
      <c r="D41" s="56"/>
      <c r="E41" s="56"/>
      <c r="F41" s="56"/>
      <c r="G41" s="8"/>
      <c r="H41" s="8"/>
      <c r="I41" s="8"/>
      <c r="J41" s="8"/>
      <c r="K41" s="8"/>
      <c r="L41" s="8"/>
      <c r="M41" s="8"/>
    </row>
    <row r="42" spans="1:13" ht="18">
      <c r="A42" s="20" t="s">
        <v>157</v>
      </c>
      <c r="B42" s="56"/>
      <c r="C42" s="56"/>
      <c r="D42" s="56"/>
      <c r="E42" s="56"/>
      <c r="F42" s="56"/>
      <c r="G42" s="8"/>
      <c r="H42" s="8"/>
      <c r="I42" s="8"/>
      <c r="J42" s="8"/>
      <c r="K42" s="8"/>
      <c r="L42" s="8"/>
      <c r="M42" s="8"/>
    </row>
    <row r="43" spans="1:13" ht="35.25" thickBot="1">
      <c r="A43" s="98">
        <f>A6</f>
        <v>0</v>
      </c>
      <c r="B43" s="21"/>
      <c r="C43" s="21" t="s">
        <v>102</v>
      </c>
      <c r="D43" s="21" t="str">
        <f>D6</f>
        <v> </v>
      </c>
      <c r="E43" s="133"/>
      <c r="F43" s="134"/>
      <c r="G43" s="10"/>
      <c r="H43" s="10"/>
      <c r="I43" s="10"/>
      <c r="J43" s="10"/>
      <c r="M43" s="242" t="str">
        <f>M6</f>
        <v>OGO A-953 (CRO-15)</v>
      </c>
    </row>
    <row r="44" spans="1:13" ht="16.5" thickBot="1" thickTop="1">
      <c r="A44" s="58"/>
      <c r="B44" s="58"/>
      <c r="C44" s="59" t="s">
        <v>67</v>
      </c>
      <c r="D44" s="60"/>
      <c r="E44" s="28" t="s">
        <v>68</v>
      </c>
      <c r="F44" s="61" t="s">
        <v>69</v>
      </c>
      <c r="G44" s="62"/>
      <c r="H44" s="62"/>
      <c r="I44" s="62"/>
      <c r="J44" s="62"/>
      <c r="K44" s="62"/>
      <c r="L44" s="62"/>
      <c r="M44" s="63"/>
    </row>
    <row r="45" spans="1:13" ht="16.5" thickBot="1" thickTop="1">
      <c r="A45" s="24"/>
      <c r="B45" s="24" t="s">
        <v>70</v>
      </c>
      <c r="C45" s="25" t="s">
        <v>103</v>
      </c>
      <c r="D45" s="26"/>
      <c r="E45" s="27" t="s">
        <v>72</v>
      </c>
      <c r="F45" s="28" t="s">
        <v>218</v>
      </c>
      <c r="G45" s="28" t="s">
        <v>73</v>
      </c>
      <c r="H45" s="28"/>
      <c r="I45" s="28"/>
      <c r="J45" s="28"/>
      <c r="K45" s="28"/>
      <c r="L45" s="27" t="s">
        <v>74</v>
      </c>
      <c r="M45" s="28"/>
    </row>
    <row r="46" spans="1:13" ht="16.5" thickBot="1" thickTop="1">
      <c r="A46" s="29" t="s">
        <v>75</v>
      </c>
      <c r="B46" s="29" t="s">
        <v>76</v>
      </c>
      <c r="C46" s="30" t="s">
        <v>77</v>
      </c>
      <c r="D46" s="30" t="s">
        <v>78</v>
      </c>
      <c r="E46" s="30" t="s">
        <v>79</v>
      </c>
      <c r="F46" s="30" t="s">
        <v>219</v>
      </c>
      <c r="G46" s="30" t="s">
        <v>81</v>
      </c>
      <c r="H46" s="30" t="s">
        <v>10</v>
      </c>
      <c r="I46" s="30" t="s">
        <v>11</v>
      </c>
      <c r="J46" s="130" t="s">
        <v>215</v>
      </c>
      <c r="K46" s="30" t="s">
        <v>216</v>
      </c>
      <c r="L46" s="130" t="s">
        <v>156</v>
      </c>
      <c r="M46" s="30" t="s">
        <v>84</v>
      </c>
    </row>
    <row r="47" spans="1:13" ht="15.75" thickTop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</row>
    <row r="48" spans="1:13" ht="15">
      <c r="A48" s="44" t="s">
        <v>85</v>
      </c>
      <c r="B48" s="45">
        <v>400</v>
      </c>
      <c r="C48" s="46">
        <v>3.1</v>
      </c>
      <c r="D48" s="46">
        <v>6</v>
      </c>
      <c r="E48" s="46">
        <f>RETAIL!I17</f>
        <v>0.7908000000000001</v>
      </c>
      <c r="F48" s="46">
        <f>RETAIL!I9</f>
        <v>2.0168999999999997</v>
      </c>
      <c r="G48" s="46">
        <f>RETAIL!I10</f>
        <v>1.0333999999999999</v>
      </c>
      <c r="H48" s="46">
        <f>RETAIL!I11</f>
        <v>0.584</v>
      </c>
      <c r="I48" s="46">
        <f>RETAIL!I12</f>
        <v>0.336</v>
      </c>
      <c r="J48" s="46">
        <f>RETAIL!I13</f>
        <v>0.2692</v>
      </c>
      <c r="K48" s="46">
        <f>RETAIL!I14</f>
        <v>0.2595</v>
      </c>
      <c r="L48" s="46">
        <f>RETAIL!I15</f>
        <v>0.1632</v>
      </c>
      <c r="M48" s="66">
        <f>RETAIL!I16</f>
        <v>0.1542</v>
      </c>
    </row>
    <row r="49" spans="1:13" ht="15">
      <c r="A49" s="44" t="s">
        <v>28</v>
      </c>
      <c r="B49" s="45">
        <v>800</v>
      </c>
      <c r="C49" s="46">
        <v>1.5</v>
      </c>
      <c r="D49" s="46">
        <v>3.09</v>
      </c>
      <c r="E49" s="46">
        <f>RETAIL!I27</f>
        <v>0.7911</v>
      </c>
      <c r="F49" s="46">
        <f>RETAIL!I19</f>
        <v>2.0178</v>
      </c>
      <c r="G49" s="46">
        <f>RETAIL!I20</f>
        <v>1.0337999999999998</v>
      </c>
      <c r="H49" s="46">
        <f>RETAIL!I21</f>
        <v>0.5842</v>
      </c>
      <c r="I49" s="46">
        <f>RETAIL!I22</f>
        <v>0.3361</v>
      </c>
      <c r="J49" s="46">
        <f>RETAIL!I23</f>
        <v>0.2693</v>
      </c>
      <c r="K49" s="46">
        <f>RETAIL!I24</f>
        <v>0.2595</v>
      </c>
      <c r="L49" s="46">
        <f>RETAIL!I25</f>
        <v>0.1633</v>
      </c>
      <c r="M49" s="66">
        <f>RETAIL!I26</f>
        <v>0.1543</v>
      </c>
    </row>
    <row r="50" spans="1:13" ht="15">
      <c r="A50" s="34" t="s">
        <v>86</v>
      </c>
      <c r="B50" s="35">
        <v>900</v>
      </c>
      <c r="C50" s="36">
        <v>0.5</v>
      </c>
      <c r="D50" s="36">
        <v>1.49</v>
      </c>
      <c r="E50" s="36">
        <f>RETAIL!I37</f>
        <v>0.7911</v>
      </c>
      <c r="F50" s="36">
        <f>RETAIL!I29</f>
        <v>2.0178</v>
      </c>
      <c r="G50" s="36">
        <f>RETAIL!I30</f>
        <v>1.0337999999999998</v>
      </c>
      <c r="H50" s="36">
        <f>RETAIL!I31</f>
        <v>0.5842</v>
      </c>
      <c r="I50" s="36">
        <f>RETAIL!I32</f>
        <v>0.3361</v>
      </c>
      <c r="J50" s="36">
        <f>RETAIL!I33</f>
        <v>0.2693</v>
      </c>
      <c r="K50" s="36">
        <f>RETAIL!I34</f>
        <v>0.2595</v>
      </c>
      <c r="L50" s="36">
        <f>RETAIL!I35</f>
        <v>0.1633</v>
      </c>
      <c r="M50" s="64">
        <f>RETAIL!I36</f>
        <v>0.1543</v>
      </c>
    </row>
    <row r="51" spans="1:13" ht="15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5"/>
    </row>
    <row r="52" spans="1:13" ht="15">
      <c r="A52" s="34" t="s">
        <v>30</v>
      </c>
      <c r="B52" s="35">
        <v>1200</v>
      </c>
      <c r="C52" s="36">
        <v>0</v>
      </c>
      <c r="D52" s="36">
        <v>0.49</v>
      </c>
      <c r="E52" s="36">
        <f>RETAIL!I47</f>
        <v>0.7911</v>
      </c>
      <c r="F52" s="36">
        <f>RETAIL!I39</f>
        <v>2.0178</v>
      </c>
      <c r="G52" s="36">
        <f>RETAIL!I40</f>
        <v>1.0337999999999998</v>
      </c>
      <c r="H52" s="36">
        <f>RETAIL!I41</f>
        <v>0.5842</v>
      </c>
      <c r="I52" s="36">
        <f>RETAIL!I42</f>
        <v>0.3361</v>
      </c>
      <c r="J52" s="36">
        <f>RETAIL!I43</f>
        <v>0.2693</v>
      </c>
      <c r="K52" s="36">
        <f>RETAIL!I44</f>
        <v>0.2595</v>
      </c>
      <c r="L52" s="36">
        <f>RETAIL!I45</f>
        <v>0.1633</v>
      </c>
      <c r="M52" s="64">
        <f>RETAIL!I46</f>
        <v>0.1543</v>
      </c>
    </row>
    <row r="53" spans="1:13" ht="15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5"/>
    </row>
    <row r="54" spans="1:13" ht="15">
      <c r="A54" s="44" t="s">
        <v>15</v>
      </c>
      <c r="B54" s="45">
        <v>500</v>
      </c>
      <c r="C54" s="46">
        <v>3.1</v>
      </c>
      <c r="D54" s="46">
        <v>6</v>
      </c>
      <c r="E54" s="46">
        <f>RETAIL!I57</f>
        <v>0.7906</v>
      </c>
      <c r="F54" s="46">
        <f>RETAIL!I49</f>
        <v>2.0161</v>
      </c>
      <c r="G54" s="46">
        <f>RETAIL!I50</f>
        <v>1.033</v>
      </c>
      <c r="H54" s="46">
        <f>RETAIL!I51</f>
        <v>0.5838</v>
      </c>
      <c r="I54" s="46">
        <f>RETAIL!I52</f>
        <v>0.33590000000000003</v>
      </c>
      <c r="J54" s="46">
        <f>RETAIL!I53</f>
        <v>0.2692</v>
      </c>
      <c r="K54" s="46">
        <f>RETAIL!I54</f>
        <v>0.2594</v>
      </c>
      <c r="L54" s="46">
        <f>RETAIL!I55</f>
        <v>0.1632</v>
      </c>
      <c r="M54" s="66">
        <f>RETAIL!I56</f>
        <v>0.1542</v>
      </c>
    </row>
    <row r="55" spans="1:13" ht="15">
      <c r="A55" s="44" t="s">
        <v>31</v>
      </c>
      <c r="B55" s="45">
        <v>600</v>
      </c>
      <c r="C55" s="46">
        <v>0.5</v>
      </c>
      <c r="D55" s="46">
        <v>3.09</v>
      </c>
      <c r="E55" s="46">
        <f>RETAIL!I67</f>
        <v>0.7906</v>
      </c>
      <c r="F55" s="46">
        <f>RETAIL!I59</f>
        <v>2.0161</v>
      </c>
      <c r="G55" s="46">
        <f>RETAIL!I60</f>
        <v>1.033</v>
      </c>
      <c r="H55" s="46">
        <f>RETAIL!I61</f>
        <v>0.5838</v>
      </c>
      <c r="I55" s="46">
        <f>RETAIL!I62</f>
        <v>0.33590000000000003</v>
      </c>
      <c r="J55" s="46">
        <f>RETAIL!I63</f>
        <v>0.2692</v>
      </c>
      <c r="K55" s="46">
        <f>RETAIL!I64</f>
        <v>0.2594</v>
      </c>
      <c r="L55" s="46">
        <f>RETAIL!I65</f>
        <v>0.1632</v>
      </c>
      <c r="M55" s="66">
        <f>RETAIL!I66</f>
        <v>0.1542</v>
      </c>
    </row>
    <row r="56" spans="1:13" ht="15">
      <c r="A56" s="34" t="s">
        <v>224</v>
      </c>
      <c r="B56" s="35">
        <v>700</v>
      </c>
      <c r="C56" s="36">
        <v>0</v>
      </c>
      <c r="D56" s="36">
        <v>0.49</v>
      </c>
      <c r="E56" s="36">
        <f>RETAIL!I77</f>
        <v>0.7906</v>
      </c>
      <c r="F56" s="36">
        <f>RETAIL!I69</f>
        <v>2.0161</v>
      </c>
      <c r="G56" s="36">
        <f>RETAIL!I70</f>
        <v>1.033</v>
      </c>
      <c r="H56" s="36">
        <f>RETAIL!I71</f>
        <v>0.5838</v>
      </c>
      <c r="I56" s="36">
        <f>RETAIL!I72</f>
        <v>0.33590000000000003</v>
      </c>
      <c r="J56" s="36">
        <f>RETAIL!I73</f>
        <v>0.2692</v>
      </c>
      <c r="K56" s="36">
        <f>RETAIL!I74</f>
        <v>0.2594</v>
      </c>
      <c r="L56" s="36">
        <f>RETAIL!I75</f>
        <v>0.1632</v>
      </c>
      <c r="M56" s="64">
        <f>RETAIL!I76</f>
        <v>0.1542</v>
      </c>
    </row>
    <row r="57" spans="1:13" ht="1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66"/>
    </row>
    <row r="58" spans="1:13" ht="15">
      <c r="A58" s="44" t="s">
        <v>16</v>
      </c>
      <c r="B58" s="45">
        <v>1000</v>
      </c>
      <c r="C58" s="46">
        <v>0</v>
      </c>
      <c r="D58" s="46">
        <v>6</v>
      </c>
      <c r="E58" s="46">
        <f>RETAIL!I87</f>
        <v>0.8637</v>
      </c>
      <c r="F58" s="46">
        <f>RETAIL!I79</f>
        <v>2.3081</v>
      </c>
      <c r="G58" s="46">
        <f>RETAIL!I80</f>
        <v>1.1789999999999998</v>
      </c>
      <c r="H58" s="46">
        <f>RETAIL!I81</f>
        <v>0.6569</v>
      </c>
      <c r="I58" s="46">
        <f>RETAIL!I82</f>
        <v>0.3723</v>
      </c>
      <c r="J58" s="46">
        <f>RETAIL!I83</f>
        <v>0.2965</v>
      </c>
      <c r="K58" s="46">
        <f>RETAIL!I84</f>
        <v>0.2822</v>
      </c>
      <c r="L58" s="46">
        <f>RETAIL!I85</f>
        <v>0.1815</v>
      </c>
      <c r="M58" s="66">
        <f>RETAIL!I86</f>
        <v>0.1633</v>
      </c>
    </row>
    <row r="59" spans="1:13" ht="15">
      <c r="A59" s="44" t="s">
        <v>191</v>
      </c>
      <c r="B59" s="45">
        <v>510</v>
      </c>
      <c r="C59" s="46">
        <v>0</v>
      </c>
      <c r="D59" s="46">
        <v>17.99</v>
      </c>
      <c r="E59" s="46">
        <f>RETAIL!I97</f>
        <v>1.3053</v>
      </c>
      <c r="F59" s="46">
        <f>RETAIL!I89</f>
        <v>4.0745</v>
      </c>
      <c r="G59" s="46">
        <f>RETAIL!I90</f>
        <v>2.0622</v>
      </c>
      <c r="H59" s="46">
        <f>RETAIL!I91</f>
        <v>1.0983999999999998</v>
      </c>
      <c r="I59" s="46">
        <f>RETAIL!I92</f>
        <v>0.5932</v>
      </c>
      <c r="J59" s="46">
        <f>RETAIL!I93</f>
        <v>0.4621</v>
      </c>
      <c r="K59" s="46">
        <f>RETAIL!I94</f>
        <v>0.4202</v>
      </c>
      <c r="L59" s="46">
        <f>RETAIL!I95</f>
        <v>0.2918</v>
      </c>
      <c r="M59" s="64">
        <f>RETAIL!I96</f>
        <v>0.2185</v>
      </c>
    </row>
    <row r="60" spans="1:13" ht="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5"/>
    </row>
    <row r="61" spans="1:13" ht="15">
      <c r="A61" s="34" t="s">
        <v>104</v>
      </c>
      <c r="B61" s="35">
        <v>1500</v>
      </c>
      <c r="C61" s="36">
        <v>6.01</v>
      </c>
      <c r="D61" s="36">
        <v>17.99</v>
      </c>
      <c r="E61" s="36">
        <f>RETAIL!I106</f>
        <v>0.9929</v>
      </c>
      <c r="F61" s="36"/>
      <c r="G61" s="36">
        <f>RETAIL!I99</f>
        <v>1.4375</v>
      </c>
      <c r="H61" s="36">
        <f>RETAIL!I100</f>
        <v>0.7861</v>
      </c>
      <c r="I61" s="36">
        <f>RETAIL!I101</f>
        <v>0.437</v>
      </c>
      <c r="J61" s="36">
        <f>RETAIL!I102</f>
        <v>0.34500000000000003</v>
      </c>
      <c r="K61" s="36">
        <f>RETAIL!I103</f>
        <v>0.3226</v>
      </c>
      <c r="L61" s="36">
        <f>RETAIL!I104</f>
        <v>0.21380000000000002</v>
      </c>
      <c r="M61" s="64"/>
    </row>
    <row r="62" spans="1:13" ht="15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5"/>
    </row>
    <row r="63" spans="1:13" ht="15">
      <c r="A63" s="44" t="s">
        <v>50</v>
      </c>
      <c r="B63" s="45">
        <v>1700</v>
      </c>
      <c r="C63" s="46">
        <v>18</v>
      </c>
      <c r="D63" s="46">
        <v>29.99</v>
      </c>
      <c r="E63" s="46">
        <f>RETAIL!I115</f>
        <v>0.9954</v>
      </c>
      <c r="F63" s="46"/>
      <c r="G63" s="46"/>
      <c r="H63" s="46">
        <f>RETAIL!I109</f>
        <v>0.7886</v>
      </c>
      <c r="I63" s="46">
        <f>RETAIL!I110</f>
        <v>0.4382</v>
      </c>
      <c r="J63" s="46">
        <f>RETAIL!I111</f>
        <v>0.34600000000000003</v>
      </c>
      <c r="K63" s="46">
        <f>RETAIL!I112</f>
        <v>0.3234</v>
      </c>
      <c r="L63" s="46">
        <f>RETAIL!I113</f>
        <v>0.2144</v>
      </c>
      <c r="M63" s="66"/>
    </row>
    <row r="64" spans="1:13" ht="15">
      <c r="A64" s="44" t="s">
        <v>34</v>
      </c>
      <c r="B64" s="45">
        <v>1800</v>
      </c>
      <c r="C64" s="46">
        <v>30</v>
      </c>
      <c r="D64" s="46">
        <v>35.99</v>
      </c>
      <c r="E64" s="46">
        <f>RETAIL!I124</f>
        <v>0.9954</v>
      </c>
      <c r="F64" s="46"/>
      <c r="G64" s="46"/>
      <c r="H64" s="46">
        <f>RETAIL!I118</f>
        <v>0.7886</v>
      </c>
      <c r="I64" s="46">
        <f>RETAIL!I119</f>
        <v>0.4382</v>
      </c>
      <c r="J64" s="46">
        <f>RETAIL!I120</f>
        <v>0.34600000000000003</v>
      </c>
      <c r="K64" s="46">
        <f>RETAIL!I121</f>
        <v>0.3234</v>
      </c>
      <c r="L64" s="46">
        <f>RETAIL!I122</f>
        <v>0.2144</v>
      </c>
      <c r="M64" s="66"/>
    </row>
    <row r="65" spans="1:13" ht="15">
      <c r="A65" s="34" t="s">
        <v>35</v>
      </c>
      <c r="B65" s="35">
        <v>1900</v>
      </c>
      <c r="C65" s="36">
        <v>36</v>
      </c>
      <c r="D65" s="36">
        <v>50</v>
      </c>
      <c r="E65" s="36">
        <f>RETAIL!I133</f>
        <v>0.9954</v>
      </c>
      <c r="F65" s="36"/>
      <c r="G65" s="36"/>
      <c r="H65" s="36">
        <f>RETAIL!I127</f>
        <v>0.7886</v>
      </c>
      <c r="I65" s="36">
        <f>RETAIL!I128</f>
        <v>0.4382</v>
      </c>
      <c r="J65" s="36">
        <f>RETAIL!I129</f>
        <v>0.34600000000000003</v>
      </c>
      <c r="K65" s="36">
        <f>RETAIL!I130</f>
        <v>0.3234</v>
      </c>
      <c r="L65" s="36">
        <f>RETAIL!I131</f>
        <v>0.2144</v>
      </c>
      <c r="M65" s="64"/>
    </row>
    <row r="66" spans="1:13" ht="15">
      <c r="A66" s="39"/>
      <c r="B66" s="40"/>
      <c r="C66" s="41"/>
      <c r="D66" s="41"/>
      <c r="E66" s="135"/>
      <c r="F66" s="41"/>
      <c r="G66" s="41"/>
      <c r="H66" s="41"/>
      <c r="I66" s="41"/>
      <c r="J66" s="41"/>
      <c r="K66" s="41"/>
      <c r="L66" s="41"/>
      <c r="M66" s="65"/>
    </row>
    <row r="67" spans="1:13" ht="15.75" thickBot="1">
      <c r="A67" s="49" t="s">
        <v>51</v>
      </c>
      <c r="B67" s="50">
        <v>1600</v>
      </c>
      <c r="C67" s="51">
        <v>0</v>
      </c>
      <c r="D67" s="51">
        <v>29.99</v>
      </c>
      <c r="E67" s="51">
        <f>RETAIL!I142</f>
        <v>1.4268999999999998</v>
      </c>
      <c r="F67" s="51"/>
      <c r="G67" s="51"/>
      <c r="H67" s="51">
        <f>RETAIL!I136</f>
        <v>1.301</v>
      </c>
      <c r="I67" s="51">
        <f>RETAIL!I137</f>
        <v>0.6945</v>
      </c>
      <c r="J67" s="51">
        <f>RETAIL!I138</f>
        <v>0.4728</v>
      </c>
      <c r="K67" s="51">
        <f>RETAIL!I139</f>
        <v>0.39490000000000003</v>
      </c>
      <c r="L67" s="51">
        <f>RETAIL!I140</f>
        <v>0.3425</v>
      </c>
      <c r="M67" s="67"/>
    </row>
    <row r="68" spans="1:13" ht="15.75" thickTop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">
      <c r="A69" s="54" t="s">
        <v>106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5">
      <c r="A70" s="54" t="s">
        <v>107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5">
      <c r="A71" s="54" t="s">
        <v>158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5">
      <c r="A72" s="265" t="str">
        <f>CONCATENATE("        /4/  ADD $",INPUT!E20," WHEN SOLD IN RIGID PLASTIC CONTAINERS.")</f>
        <v>        /4/  ADD $0.01 WHEN SOLD IN RIGID PLASTIC CONTAINERS.</v>
      </c>
      <c r="B72" s="136"/>
      <c r="C72" s="137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2:20" ht="15">
      <c r="B73" s="136"/>
      <c r="C73" s="137"/>
      <c r="D73" s="54"/>
      <c r="E73" s="54"/>
      <c r="F73" s="54"/>
      <c r="G73" s="54"/>
      <c r="H73" s="54"/>
      <c r="I73" s="54"/>
      <c r="J73" s="54"/>
      <c r="K73" s="54"/>
      <c r="L73" s="54"/>
      <c r="M73" s="54"/>
      <c r="Q73">
        <v>0.03</v>
      </c>
      <c r="R73">
        <v>0.01</v>
      </c>
      <c r="S73">
        <v>0.01</v>
      </c>
      <c r="T73">
        <v>0.01</v>
      </c>
    </row>
    <row r="74" spans="2:1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</sheetData>
  <sheetProtection/>
  <mergeCells count="1">
    <mergeCell ref="A35:D35"/>
  </mergeCells>
  <printOptions horizontalCentered="1"/>
  <pageMargins left="0.25" right="0.25" top="0.5" bottom="0.5" header="0.5" footer="0.5"/>
  <pageSetup fitToHeight="2" fitToWidth="1" horizontalDpi="600" verticalDpi="600" orientation="landscape" scale="83" r:id="rId1"/>
  <rowBreaks count="1" manualBreakCount="1">
    <brk id="3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2004-09-20T18:27:26Z</cp:lastPrinted>
  <dcterms:created xsi:type="dcterms:W3CDTF">1998-10-19T18:47:17Z</dcterms:created>
  <dcterms:modified xsi:type="dcterms:W3CDTF">2024-01-19T19:53:42Z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1852477544</vt:i4>
  </property>
  <property fmtid="{D5CDD505-2E9C-101B-9397-08002B2CF9AE}" pid="3" name="_EmailSubject">
    <vt:lpwstr>It was actually Area 2 that I saved to my desktop, I guess</vt:lpwstr>
  </property>
  <property fmtid="{D5CDD505-2E9C-101B-9397-08002B2CF9AE}" pid="4" name="_AuthorEmail">
    <vt:lpwstr>deberly@state.pa.us</vt:lpwstr>
  </property>
  <property fmtid="{D5CDD505-2E9C-101B-9397-08002B2CF9AE}" pid="5" name="_AuthorEmailDisplayName">
    <vt:lpwstr>Eberly, Douglas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Order">
    <vt:lpwstr>26300.0000000000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:schemas-microsoft-com:office:office#Editor">
    <vt:lpwstr>System Account</vt:lpwstr>
  </property>
  <property fmtid="{D5CDD505-2E9C-101B-9397-08002B2CF9AE}" pid="16" name="display_urn:schemas-microsoft-com:office:office#Author">
    <vt:lpwstr>System Account</vt:lpwstr>
  </property>
</Properties>
</file>